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ellipticlabsas.sharepoint.com/sites/TeamFinance/Shared Documents/General/03 Reporting/published/"/>
    </mc:Choice>
  </mc:AlternateContent>
  <xr:revisionPtr revIDLastSave="5" documentId="8_{37DFE066-FDE5-49D2-9A3C-087BC73EA14A}" xr6:coauthVersionLast="47" xr6:coauthVersionMax="47" xr10:uidLastSave="{B898990E-8C8F-478B-A23F-E7841C312CB3}"/>
  <bookViews>
    <workbookView xWindow="-98" yWindow="-98" windowWidth="21795" windowHeight="12975" tabRatio="500" xr2:uid="{00000000-000D-0000-FFFF-FFFF00000000}"/>
  </bookViews>
  <sheets>
    <sheet name="ELA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1" i="1" l="1"/>
  <c r="T111" i="1"/>
  <c r="Y105" i="1"/>
  <c r="T105" i="1"/>
  <c r="S105" i="1"/>
  <c r="Y95" i="1"/>
  <c r="T95" i="1"/>
  <c r="S95" i="1"/>
  <c r="Q95" i="1"/>
  <c r="Y87" i="1"/>
  <c r="T87" i="1"/>
  <c r="S87" i="1"/>
  <c r="P83" i="1"/>
  <c r="P76" i="1"/>
  <c r="Y74" i="1"/>
  <c r="T74" i="1"/>
  <c r="Q74" i="1"/>
  <c r="P74" i="1"/>
  <c r="O74" i="1"/>
  <c r="Y69" i="1"/>
  <c r="V69" i="1"/>
  <c r="U69" i="1"/>
  <c r="T69" i="1"/>
  <c r="S69" i="1"/>
  <c r="R69" i="1"/>
  <c r="Q69" i="1"/>
  <c r="P69" i="1"/>
  <c r="O69" i="1"/>
  <c r="N69" i="1"/>
  <c r="M69" i="1"/>
  <c r="L69" i="1"/>
  <c r="K69" i="1"/>
  <c r="Y66" i="1"/>
  <c r="S63" i="1"/>
  <c r="S66" i="1" s="1"/>
  <c r="P63" i="1"/>
  <c r="P66" i="1" s="1"/>
  <c r="Y61" i="1"/>
  <c r="S58" i="1"/>
  <c r="P58" i="1"/>
  <c r="P61" i="1" s="1"/>
  <c r="S57" i="1"/>
  <c r="S61" i="1" s="1"/>
  <c r="P57" i="1"/>
  <c r="N56" i="1"/>
  <c r="N74" i="1" s="1"/>
  <c r="M56" i="1"/>
  <c r="M74" i="1" s="1"/>
  <c r="L56" i="1"/>
  <c r="L74" i="1" s="1"/>
  <c r="K56" i="1"/>
  <c r="K74" i="1" s="1"/>
  <c r="Y51" i="1"/>
  <c r="T51" i="1"/>
  <c r="S51" i="1"/>
  <c r="Y49" i="1"/>
  <c r="Y48" i="1"/>
  <c r="T48" i="1"/>
  <c r="S48" i="1"/>
  <c r="R48" i="1"/>
  <c r="Q48" i="1"/>
  <c r="Y47" i="1"/>
  <c r="T47" i="1"/>
  <c r="S47" i="1"/>
  <c r="R47" i="1"/>
  <c r="Q47" i="1"/>
  <c r="Y45" i="1"/>
  <c r="T45" i="1"/>
  <c r="S45" i="1"/>
  <c r="R45" i="1"/>
  <c r="Q45" i="1"/>
  <c r="V43" i="1"/>
  <c r="U43" i="1"/>
  <c r="Y42" i="1"/>
  <c r="Y43" i="1" s="1"/>
  <c r="T42" i="1"/>
  <c r="Y41" i="1"/>
  <c r="T41" i="1"/>
  <c r="Q41" i="1"/>
  <c r="P41" i="1"/>
  <c r="Y40" i="1"/>
  <c r="T40" i="1"/>
  <c r="S40" i="1"/>
  <c r="R40" i="1"/>
  <c r="Q40" i="1"/>
  <c r="P40" i="1"/>
  <c r="Y37" i="1"/>
  <c r="Y36" i="1"/>
  <c r="T36" i="1"/>
  <c r="T37" i="1" s="1"/>
  <c r="S36" i="1"/>
  <c r="R36" i="1"/>
  <c r="Q36" i="1"/>
  <c r="P36" i="1"/>
  <c r="Y35" i="1"/>
  <c r="T35" i="1"/>
  <c r="S35" i="1"/>
  <c r="S38" i="1" s="1"/>
  <c r="R35" i="1"/>
  <c r="V38" i="1" s="1"/>
  <c r="Q35" i="1"/>
  <c r="U38" i="1" s="1"/>
  <c r="P35" i="1"/>
  <c r="T38" i="1" s="1"/>
  <c r="Y34" i="1"/>
  <c r="T34" i="1"/>
  <c r="Q34" i="1"/>
  <c r="O34" i="1"/>
  <c r="I34" i="1"/>
  <c r="P29" i="1"/>
  <c r="M29" i="1"/>
  <c r="L29" i="1"/>
  <c r="K29" i="1"/>
  <c r="J29" i="1"/>
  <c r="I29" i="1"/>
  <c r="H29" i="1"/>
  <c r="P28" i="1"/>
  <c r="P26" i="1"/>
  <c r="P52" i="1" s="1"/>
  <c r="P25" i="1"/>
  <c r="Q51" i="1" s="1"/>
  <c r="P24" i="1"/>
  <c r="Q23" i="1"/>
  <c r="T49" i="1" s="1"/>
  <c r="Y20" i="1"/>
  <c r="Y46" i="1" s="1"/>
  <c r="T20" i="1"/>
  <c r="T24" i="1" s="1"/>
  <c r="Q20" i="1"/>
  <c r="T46" i="1" s="1"/>
  <c r="P16" i="1"/>
  <c r="S42" i="1" s="1"/>
  <c r="P15" i="1"/>
  <c r="S41" i="1" s="1"/>
  <c r="Y11" i="1"/>
  <c r="T11" i="1"/>
  <c r="Q11" i="1"/>
  <c r="Q37" i="1" s="1"/>
  <c r="P11" i="1"/>
  <c r="R37" i="1" s="1"/>
  <c r="S37" i="1" l="1"/>
  <c r="S43" i="1" s="1"/>
  <c r="T43" i="1"/>
  <c r="P42" i="1"/>
  <c r="P46" i="1" s="1"/>
  <c r="R49" i="1"/>
  <c r="P20" i="1"/>
  <c r="S46" i="1" s="1"/>
  <c r="Q42" i="1"/>
  <c r="Q43" i="1" s="1"/>
  <c r="S49" i="1"/>
  <c r="R42" i="1"/>
  <c r="R43" i="1" s="1"/>
  <c r="R51" i="1"/>
  <c r="Q24" i="1"/>
  <c r="P50" i="1"/>
  <c r="Y24" i="1"/>
  <c r="P38" i="1"/>
  <c r="P43" i="1"/>
  <c r="R50" i="1"/>
  <c r="Q38" i="1"/>
  <c r="R38" i="1"/>
  <c r="R41" i="1"/>
  <c r="P51" i="1"/>
  <c r="Q49" i="1"/>
  <c r="R46" i="1" l="1"/>
  <c r="Q46" i="1"/>
  <c r="Y26" i="1"/>
  <c r="Y50" i="1"/>
  <c r="Q26" i="1"/>
  <c r="Q50" i="1"/>
  <c r="S50" i="1"/>
  <c r="T50" i="1"/>
  <c r="T52" i="1" l="1"/>
  <c r="S52" i="1"/>
  <c r="R52" i="1"/>
  <c r="Q52" i="1"/>
  <c r="Y52" i="1"/>
  <c r="Y29" i="1"/>
</calcChain>
</file>

<file path=xl/sharedStrings.xml><?xml version="1.0" encoding="utf-8"?>
<sst xmlns="http://schemas.openxmlformats.org/spreadsheetml/2006/main" count="214" uniqueCount="95">
  <si>
    <t>Elliptic Labs</t>
  </si>
  <si>
    <t>Unaudited figures</t>
  </si>
  <si>
    <t>NOK'000</t>
  </si>
  <si>
    <t>Unaudited</t>
  </si>
  <si>
    <t>Restated</t>
  </si>
  <si>
    <t>Profit and loss, quarterly</t>
  </si>
  <si>
    <t>Q1'20</t>
  </si>
  <si>
    <t>Q2'20</t>
  </si>
  <si>
    <t>Q3'20</t>
  </si>
  <si>
    <t>Q4'20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</si>
  <si>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</si>
  <si>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</si>
  <si>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</si>
  <si>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</si>
  <si>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</si>
  <si>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</si>
  <si>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</si>
  <si>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</si>
  <si>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</si>
  <si>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</si>
  <si>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</si>
  <si>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</si>
  <si>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</si>
  <si>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</si>
  <si>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</si>
  <si>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>Q4'24</t>
  </si>
  <si>
    <t>Q1'25</t>
  </si>
  <si>
    <t>Q2'25</t>
  </si>
  <si>
    <t>Q3'25</t>
  </si>
  <si>
    <t>Revenues from contracts with customers</t>
  </si>
  <si>
    <t>Other operating income</t>
  </si>
  <si>
    <t>Total revenue and other operating income</t>
  </si>
  <si>
    <t>YoY -Revenues from contracts with customers in%</t>
  </si>
  <si>
    <t>Personell expenses</t>
  </si>
  <si>
    <t>Other opex</t>
  </si>
  <si>
    <t>EBITDA</t>
  </si>
  <si>
    <t>EBITDA margin</t>
  </si>
  <si>
    <t>Dep, Amort &amp; Impairment</t>
  </si>
  <si>
    <t>EBIT</t>
  </si>
  <si>
    <t>Financial income</t>
  </si>
  <si>
    <t>Financial Expenses</t>
  </si>
  <si>
    <t>Net financials</t>
  </si>
  <si>
    <t>Pre-tax-profit</t>
  </si>
  <si>
    <t>Income tax expense</t>
  </si>
  <si>
    <t>Profit/loss</t>
  </si>
  <si>
    <t>Foreign currency rate changes, may be reclassified to profit or loss</t>
  </si>
  <si>
    <t>Total comprehensive income for the period</t>
  </si>
  <si>
    <t>Profit and loss, last twelve months</t>
  </si>
  <si>
    <t>Balance sheet</t>
  </si>
  <si>
    <t>Intangible assets</t>
  </si>
  <si>
    <t>Other non-current assets</t>
  </si>
  <si>
    <t>Cash and cash equivalents</t>
  </si>
  <si>
    <t>Other current assets</t>
  </si>
  <si>
    <t>Total assets</t>
  </si>
  <si>
    <t>Equity</t>
  </si>
  <si>
    <t>Long-term liabilities</t>
  </si>
  <si>
    <t>Short-term liabilities</t>
  </si>
  <si>
    <t>Total equity and liabilities</t>
  </si>
  <si>
    <t>Equity ratio</t>
  </si>
  <si>
    <t>Working cap (M)</t>
  </si>
  <si>
    <t>Cash flow</t>
  </si>
  <si>
    <t>Cash flow from operating activities</t>
  </si>
  <si>
    <t>Profit before tax</t>
  </si>
  <si>
    <t>Adjustment for:</t>
  </si>
  <si>
    <t>Taxes paid in the period</t>
  </si>
  <si>
    <t>Depreciation and impairment</t>
  </si>
  <si>
    <t>Option based payments</t>
  </si>
  <si>
    <t>Net finance items</t>
  </si>
  <si>
    <t>Other non cash items</t>
  </si>
  <si>
    <t>Items classified as financing activities</t>
  </si>
  <si>
    <t>Change in accounts receivable</t>
  </si>
  <si>
    <t>Change in trade payables</t>
  </si>
  <si>
    <t>Change in other accruals</t>
  </si>
  <si>
    <t>Net cash flow from operations</t>
  </si>
  <si>
    <t>Cash flow from investments</t>
  </si>
  <si>
    <t>Purchase of property, plant and equipment</t>
  </si>
  <si>
    <t>Capitalized development costs</t>
  </si>
  <si>
    <t>Interest received</t>
  </si>
  <si>
    <t>Proceeds from repayment of deposits</t>
  </si>
  <si>
    <t>Payment of deposits</t>
  </si>
  <si>
    <t>Net cash flow from investments</t>
  </si>
  <si>
    <t>Cash flow from financing</t>
  </si>
  <si>
    <t>Payments of lease liabilities, classified as financing activities</t>
  </si>
  <si>
    <t>Repayments of current borrowings</t>
  </si>
  <si>
    <t>Proceeds from issuing shares</t>
  </si>
  <si>
    <t>Paid interest on loan</t>
  </si>
  <si>
    <t>Paid interest on lease liabilities</t>
  </si>
  <si>
    <t>Payments for share issue costs</t>
  </si>
  <si>
    <t>Proceeds from government grants</t>
  </si>
  <si>
    <t>Net cash flow from financing</t>
  </si>
  <si>
    <t>Net Change in Cash and Cash Equivalents</t>
  </si>
  <si>
    <t>Cash and cash equivalents at the beginning of the period</t>
  </si>
  <si>
    <t>Translation differences</t>
  </si>
  <si>
    <t>Exchange rate effects bank</t>
  </si>
  <si>
    <t>Cash and cash equivalents at the end of 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</si>
</sst>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&quot;-&quot;#,##0;#,##0;_(@_)"/>
    <numFmt numFmtId="165" formatCode="#,##0,;&quot;-&quot;#,##0,;#,##0,;_(@_)"/>
    <numFmt numFmtId="166" formatCode="#0.#######################%;&quot;-&quot;#0.#######################%;&quot;-&quot;\%;_(@_)"/>
    <numFmt numFmtId="167" formatCode="#0%;&quot;-&quot;#0%;&quot;-&quot;\%;_(@_)"/>
  </numFmts>
  <fonts count="11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i/>
      <sz val="6"/>
      <color rgb="FF000000"/>
      <name val="Century Gothic"/>
      <family val="2"/>
    </font>
    <font>
      <b/>
      <i/>
      <sz val="6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36">
    <xf numFmtId="0" fontId="0" fillId="0" borderId="0" xfId="0"/>
    <xf numFmtId="0" fontId="1" fillId="0" borderId="0" xfId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5" fontId="7" fillId="0" borderId="2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165" fontId="7" fillId="0" borderId="3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166" fontId="10" fillId="0" borderId="0" xfId="0" applyNumberFormat="1" applyFont="1" applyAlignment="1">
      <alignment wrapText="1"/>
    </xf>
    <xf numFmtId="167" fontId="10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167" fontId="9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164" fontId="7" fillId="2" borderId="0" xfId="0" applyNumberFormat="1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0" fontId="6" fillId="0" borderId="1" xfId="0" applyFont="1" applyBorder="1" applyAlignment="1">
      <alignment horizontal="left" wrapText="1"/>
    </xf>
    <xf numFmtId="164" fontId="6" fillId="0" borderId="3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0" borderId="5" xfId="0" applyNumberFormat="1" applyFont="1" applyBorder="1" applyAlignment="1">
      <alignment wrapText="1"/>
    </xf>
    <xf numFmtId="165" fontId="6" fillId="0" borderId="5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166" fontId="7" fillId="0" borderId="0" xfId="0" applyNumberFormat="1" applyFont="1" applyAlignment="1">
      <alignment wrapText="1"/>
    </xf>
    <xf numFmtId="0" fontId="6" fillId="0" borderId="2" xfId="0" applyFont="1" applyBorder="1" applyAlignment="1">
      <alignment wrapText="1"/>
    </xf>
    <xf numFmtId="0" fontId="8" fillId="0" borderId="0" xfId="0" applyFont="1" applyAlignment="1">
      <alignment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A111"/>
  <sheetViews>
    <sheetView tabSelected="1" workbookViewId="0">
      <pane xSplit="3" topLeftCell="V1" activePane="topRight" state="frozen"/>
      <selection pane="topRight" activeCell="AB53" sqref="AB53"/>
    </sheetView>
  </sheetViews>
  <sheetFormatPr defaultColWidth="13.73046875" defaultRowHeight="12.75" x14ac:dyDescent="0.35"/>
  <cols>
    <col min="1" max="1" width="3.1328125" customWidth="1"/>
    <col min="2" max="2" width="3.59765625" customWidth="1"/>
    <col min="3" max="3" width="57.265625" customWidth="1"/>
    <col min="4" max="6" width="14.86328125" customWidth="1"/>
    <col min="7" max="7" width="14.265625" customWidth="1"/>
    <col min="8" max="10" width="14.86328125" customWidth="1"/>
    <col min="11" max="22" width="19.1328125" customWidth="1"/>
    <col min="26" max="26" width="16.3984375" customWidth="1"/>
  </cols>
  <sheetData>
    <row r="1" spans="3:26" ht="15" customHeight="1" x14ac:dyDescent="0.35"/>
    <row r="2" spans="3:26" ht="15" customHeight="1" x14ac:dyDescent="0.35"/>
    <row r="3" spans="3:26" ht="15" customHeight="1" x14ac:dyDescent="0.35">
      <c r="C3" s="2" t="s">
        <v>0</v>
      </c>
    </row>
    <row r="4" spans="3:26" ht="15" customHeight="1" x14ac:dyDescent="0.35">
      <c r="C4" s="3" t="s">
        <v>1</v>
      </c>
    </row>
    <row r="5" spans="3:26" ht="15" customHeight="1" x14ac:dyDescent="0.35">
      <c r="C5" s="3" t="s">
        <v>2</v>
      </c>
    </row>
    <row r="6" spans="3:26" ht="15" customHeight="1" x14ac:dyDescent="0.35"/>
    <row r="7" spans="3:26" ht="15" customHeight="1" x14ac:dyDescent="0.35"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4" t="s">
        <v>4</v>
      </c>
      <c r="Q7" s="4" t="s">
        <v>3</v>
      </c>
      <c r="R7" s="4" t="s">
        <v>3</v>
      </c>
      <c r="S7" s="4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4" t="s">
        <v>3</v>
      </c>
      <c r="Z7" s="4" t="s">
        <v>3</v>
      </c>
    </row>
    <row r="8" spans="3:26" ht="15.75" customHeight="1" x14ac:dyDescent="0.35">
      <c r="C8" s="5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  <c r="P8" s="6" t="s">
        <v>18</v>
      </c>
      <c r="Q8" s="6" t="s">
        <v>19</v>
      </c>
      <c r="R8" s="6" t="s">
        <v>20</v>
      </c>
      <c r="S8" s="6" t="s">
        <v>21</v>
      </c>
      <c r="T8" s="6" t="s">
        <v>22</v>
      </c>
      <c r="U8" s="6" t="s">
        <v>23</v>
      </c>
      <c r="V8" s="6" t="s">
        <v>24</v>
      </c>
      <c r="W8" s="6" t="s">
        <v>25</v>
      </c>
      <c r="X8" s="6" t="s">
        <v>26</v>
      </c>
      <c r="Y8" s="6" t="s">
        <v>27</v>
      </c>
      <c r="Z8" s="6" t="s">
        <v>28</v>
      </c>
    </row>
    <row r="9" spans="3:26" ht="15" customHeight="1" x14ac:dyDescent="0.35">
      <c r="C9" s="7" t="s">
        <v>29</v>
      </c>
      <c r="D9" s="8">
        <v>2</v>
      </c>
      <c r="E9" s="8">
        <v>2604</v>
      </c>
      <c r="F9" s="8">
        <v>3538</v>
      </c>
      <c r="G9" s="8">
        <v>24071</v>
      </c>
      <c r="H9" s="8">
        <v>1719</v>
      </c>
      <c r="I9" s="8">
        <v>4809</v>
      </c>
      <c r="J9" s="8">
        <v>13401</v>
      </c>
      <c r="K9" s="8">
        <v>34669</v>
      </c>
      <c r="L9" s="8">
        <v>5516</v>
      </c>
      <c r="M9" s="8">
        <v>9621</v>
      </c>
      <c r="N9" s="8">
        <v>27077</v>
      </c>
      <c r="O9" s="8">
        <v>9848</v>
      </c>
      <c r="P9" s="8">
        <v>4050</v>
      </c>
      <c r="Q9" s="8">
        <v>33180</v>
      </c>
      <c r="R9" s="8">
        <v>21874</v>
      </c>
      <c r="S9" s="8">
        <v>9216</v>
      </c>
      <c r="T9" s="8">
        <v>22232</v>
      </c>
      <c r="U9" s="9">
        <v>33883596</v>
      </c>
      <c r="V9" s="9">
        <v>28224500</v>
      </c>
      <c r="W9" s="9">
        <v>47573498</v>
      </c>
      <c r="X9" s="9">
        <v>26618159</v>
      </c>
      <c r="Y9" s="9">
        <v>24601370</v>
      </c>
      <c r="Z9" s="9">
        <v>42259070</v>
      </c>
    </row>
    <row r="10" spans="3:26" ht="15" customHeight="1" x14ac:dyDescent="0.35">
      <c r="C10" s="10" t="s">
        <v>30</v>
      </c>
      <c r="D10" s="11">
        <v>4011</v>
      </c>
      <c r="E10" s="11">
        <v>3731</v>
      </c>
      <c r="F10" s="11">
        <v>3585</v>
      </c>
      <c r="G10" s="11">
        <v>3190</v>
      </c>
      <c r="H10" s="11">
        <v>2813</v>
      </c>
      <c r="I10" s="11">
        <v>2813</v>
      </c>
      <c r="J10" s="11">
        <v>2813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310</v>
      </c>
      <c r="R10" s="11">
        <v>644</v>
      </c>
      <c r="S10" s="11">
        <v>357</v>
      </c>
      <c r="T10" s="11">
        <v>357</v>
      </c>
      <c r="U10" s="12">
        <v>357438</v>
      </c>
      <c r="V10" s="12">
        <v>357437</v>
      </c>
      <c r="W10" s="12">
        <v>357438</v>
      </c>
      <c r="X10" s="12">
        <v>357437</v>
      </c>
      <c r="Y10" s="12">
        <v>357438</v>
      </c>
      <c r="Z10" s="12">
        <v>357439</v>
      </c>
    </row>
    <row r="11" spans="3:26" ht="15" customHeight="1" x14ac:dyDescent="0.35">
      <c r="C11" s="13" t="s">
        <v>31</v>
      </c>
      <c r="D11" s="14">
        <v>4014</v>
      </c>
      <c r="E11" s="14">
        <v>6334</v>
      </c>
      <c r="F11" s="14">
        <v>7123</v>
      </c>
      <c r="G11" s="14">
        <v>27261</v>
      </c>
      <c r="H11" s="14">
        <v>4532</v>
      </c>
      <c r="I11" s="14">
        <v>7621</v>
      </c>
      <c r="J11" s="14">
        <v>16213</v>
      </c>
      <c r="K11" s="14">
        <v>34669</v>
      </c>
      <c r="L11" s="14">
        <v>5516</v>
      </c>
      <c r="M11" s="14">
        <v>9621</v>
      </c>
      <c r="N11" s="14">
        <v>27077</v>
      </c>
      <c r="O11" s="14">
        <v>9848</v>
      </c>
      <c r="P11" s="14">
        <f>SUM(P9:P10)</f>
        <v>4050</v>
      </c>
      <c r="Q11" s="14">
        <f>SUM(Q9:Q10)</f>
        <v>33490</v>
      </c>
      <c r="R11" s="14">
        <v>22518</v>
      </c>
      <c r="S11" s="14">
        <v>9574</v>
      </c>
      <c r="T11" s="14">
        <f>SUM(T9:T10)</f>
        <v>22589</v>
      </c>
      <c r="U11" s="15">
        <v>34241034</v>
      </c>
      <c r="V11" s="15">
        <v>28581937</v>
      </c>
      <c r="W11" s="15">
        <v>47930936</v>
      </c>
      <c r="X11" s="15">
        <v>26975596</v>
      </c>
      <c r="Y11" s="15">
        <f>SUM(Y9:Y10)</f>
        <v>24958808</v>
      </c>
      <c r="Z11" s="15">
        <v>42616509</v>
      </c>
    </row>
    <row r="12" spans="3:26" ht="12.6" customHeight="1" x14ac:dyDescent="0.35">
      <c r="C12" s="16" t="s">
        <v>32</v>
      </c>
      <c r="H12" s="17">
        <v>858.5</v>
      </c>
      <c r="I12" s="17">
        <v>0.85</v>
      </c>
      <c r="J12" s="17">
        <v>2.79</v>
      </c>
      <c r="K12" s="17">
        <v>0.44</v>
      </c>
      <c r="L12" s="17">
        <v>2.21</v>
      </c>
      <c r="M12" s="18">
        <v>1</v>
      </c>
      <c r="N12" s="17">
        <v>1.02</v>
      </c>
      <c r="O12" s="17">
        <v>-0.72</v>
      </c>
      <c r="P12" s="17">
        <v>-0.27</v>
      </c>
      <c r="Q12" s="17">
        <v>2.4500000000000002</v>
      </c>
      <c r="R12" s="17">
        <v>-0.19</v>
      </c>
      <c r="S12" s="17">
        <v>-0.06</v>
      </c>
      <c r="T12" s="18">
        <v>4.48958546560395</v>
      </c>
      <c r="U12" s="18">
        <v>0.02</v>
      </c>
      <c r="V12" s="18">
        <v>0.28999999999999998</v>
      </c>
      <c r="W12" s="18">
        <v>4.16</v>
      </c>
      <c r="X12" s="18">
        <v>0.2</v>
      </c>
      <c r="Y12" s="18">
        <v>-0.27</v>
      </c>
      <c r="Z12" s="18">
        <v>0.5</v>
      </c>
    </row>
    <row r="13" spans="3:26" ht="15" customHeight="1" x14ac:dyDescent="0.35">
      <c r="Z13" s="2"/>
    </row>
    <row r="14" spans="3:26" ht="15" customHeight="1" x14ac:dyDescent="0.35">
      <c r="C14" s="3" t="s">
        <v>33</v>
      </c>
      <c r="D14" s="19">
        <v>12303</v>
      </c>
      <c r="E14" s="19">
        <v>8924</v>
      </c>
      <c r="F14" s="19">
        <v>9414</v>
      </c>
      <c r="G14" s="19">
        <v>5225</v>
      </c>
      <c r="H14" s="19">
        <v>10333</v>
      </c>
      <c r="I14" s="19">
        <v>8084</v>
      </c>
      <c r="J14" s="19">
        <v>13606</v>
      </c>
      <c r="K14" s="19">
        <v>18784</v>
      </c>
      <c r="L14" s="19">
        <v>13898</v>
      </c>
      <c r="M14" s="19">
        <v>15628</v>
      </c>
      <c r="N14" s="19">
        <v>16341</v>
      </c>
      <c r="O14" s="19">
        <v>16935</v>
      </c>
      <c r="P14" s="19">
        <v>18939</v>
      </c>
      <c r="Q14" s="19">
        <v>19280</v>
      </c>
      <c r="R14" s="19">
        <v>20572</v>
      </c>
      <c r="S14" s="19">
        <v>21761</v>
      </c>
      <c r="T14" s="19">
        <v>21549</v>
      </c>
      <c r="U14" s="20">
        <v>17135645</v>
      </c>
      <c r="V14" s="20">
        <v>23625319</v>
      </c>
      <c r="W14" s="20">
        <v>25551133</v>
      </c>
      <c r="X14" s="20">
        <v>21957275</v>
      </c>
      <c r="Y14" s="20">
        <v>18279123</v>
      </c>
      <c r="Z14" s="20">
        <v>23128156</v>
      </c>
    </row>
    <row r="15" spans="3:26" ht="15" customHeight="1" x14ac:dyDescent="0.35">
      <c r="C15" s="10" t="s">
        <v>34</v>
      </c>
      <c r="D15" s="11">
        <v>2781</v>
      </c>
      <c r="E15" s="11">
        <v>3330</v>
      </c>
      <c r="F15" s="11">
        <v>3929</v>
      </c>
      <c r="G15" s="11">
        <v>3491</v>
      </c>
      <c r="H15" s="11">
        <v>2697</v>
      </c>
      <c r="I15" s="11">
        <v>3245</v>
      </c>
      <c r="J15" s="11">
        <v>2985</v>
      </c>
      <c r="K15" s="11">
        <v>6131</v>
      </c>
      <c r="L15" s="11">
        <v>5059</v>
      </c>
      <c r="M15" s="11">
        <v>4957</v>
      </c>
      <c r="N15" s="11">
        <v>4502</v>
      </c>
      <c r="O15" s="11">
        <v>5556</v>
      </c>
      <c r="P15" s="11">
        <f>5518+145</f>
        <v>5663</v>
      </c>
      <c r="Q15" s="11">
        <v>5989</v>
      </c>
      <c r="R15" s="11">
        <v>4860</v>
      </c>
      <c r="S15" s="11">
        <v>6232</v>
      </c>
      <c r="T15" s="11">
        <v>4332</v>
      </c>
      <c r="U15" s="12">
        <v>5683094</v>
      </c>
      <c r="V15" s="12">
        <v>4499292</v>
      </c>
      <c r="W15" s="12">
        <v>5850573</v>
      </c>
      <c r="X15" s="12">
        <v>6662935</v>
      </c>
      <c r="Y15" s="12">
        <v>5609256</v>
      </c>
      <c r="Z15" s="12">
        <v>6797796</v>
      </c>
    </row>
    <row r="16" spans="3:26" ht="15" customHeight="1" x14ac:dyDescent="0.35">
      <c r="C16" s="13" t="s">
        <v>35</v>
      </c>
      <c r="D16" s="14">
        <v>-11070</v>
      </c>
      <c r="E16" s="14">
        <v>-5920</v>
      </c>
      <c r="F16" s="14">
        <v>-6220</v>
      </c>
      <c r="G16" s="14">
        <v>18546</v>
      </c>
      <c r="H16" s="14">
        <v>-8498</v>
      </c>
      <c r="I16" s="14">
        <v>-3707</v>
      </c>
      <c r="J16" s="14">
        <v>-377</v>
      </c>
      <c r="K16" s="14">
        <v>9754</v>
      </c>
      <c r="L16" s="14">
        <v>-13441</v>
      </c>
      <c r="M16" s="14">
        <v>-10964</v>
      </c>
      <c r="N16" s="14">
        <v>6234</v>
      </c>
      <c r="O16" s="14">
        <v>-12643</v>
      </c>
      <c r="P16" s="14">
        <f>-20407-145</f>
        <v>-20552</v>
      </c>
      <c r="Q16" s="14">
        <v>8222</v>
      </c>
      <c r="R16" s="14">
        <v>-2915</v>
      </c>
      <c r="S16" s="14">
        <v>-18419</v>
      </c>
      <c r="T16" s="14">
        <v>-3291</v>
      </c>
      <c r="U16" s="15">
        <v>11422295</v>
      </c>
      <c r="V16" s="15">
        <v>457326</v>
      </c>
      <c r="W16" s="15">
        <v>16529230</v>
      </c>
      <c r="X16" s="15">
        <v>-1644614</v>
      </c>
      <c r="Y16" s="15">
        <v>1070429</v>
      </c>
      <c r="Z16" s="15">
        <v>12690557</v>
      </c>
    </row>
    <row r="17" spans="3:26" ht="12.6" customHeight="1" x14ac:dyDescent="0.35">
      <c r="C17" s="16" t="s">
        <v>36</v>
      </c>
      <c r="D17" s="21">
        <v>-2.76</v>
      </c>
      <c r="E17" s="21">
        <v>-0.93</v>
      </c>
      <c r="F17" s="21">
        <v>-0.87</v>
      </c>
      <c r="G17" s="21">
        <v>0.68</v>
      </c>
      <c r="H17" s="21">
        <v>-1.88</v>
      </c>
      <c r="I17" s="21">
        <v>-0.49</v>
      </c>
      <c r="J17" s="21">
        <v>-0.02</v>
      </c>
      <c r="K17" s="21">
        <v>0.28000000000000003</v>
      </c>
      <c r="L17" s="21">
        <v>-2.44</v>
      </c>
      <c r="M17" s="21">
        <v>-1.1399999999999999</v>
      </c>
      <c r="N17" s="21">
        <v>0.23</v>
      </c>
      <c r="O17" s="21">
        <v>-1.28</v>
      </c>
      <c r="P17" s="21">
        <v>-5.07</v>
      </c>
      <c r="Q17" s="21">
        <v>0.25</v>
      </c>
      <c r="R17" s="21">
        <v>-0.13</v>
      </c>
      <c r="S17" s="21">
        <v>-1.92</v>
      </c>
      <c r="T17" s="22">
        <v>-0.14567282670088999</v>
      </c>
      <c r="U17" s="22">
        <v>0.33358499045326701</v>
      </c>
      <c r="V17" s="22">
        <v>1.6000525086875699E-2</v>
      </c>
      <c r="W17" s="22">
        <v>0.34485514741460499</v>
      </c>
      <c r="X17" s="22">
        <v>-6.0966734525531897E-2</v>
      </c>
      <c r="Y17" s="22">
        <v>0.04</v>
      </c>
      <c r="Z17" s="22">
        <v>0.29778499688935101</v>
      </c>
    </row>
    <row r="18" spans="3:26" ht="12.6" customHeight="1" x14ac:dyDescent="0.35">
      <c r="Z18" s="16"/>
    </row>
    <row r="19" spans="3:26" ht="15" customHeight="1" x14ac:dyDescent="0.35">
      <c r="C19" s="10" t="s">
        <v>37</v>
      </c>
      <c r="D19" s="11">
        <v>1362</v>
      </c>
      <c r="E19" s="11">
        <v>1354</v>
      </c>
      <c r="F19" s="11">
        <v>1355</v>
      </c>
      <c r="G19" s="11">
        <v>1368</v>
      </c>
      <c r="H19" s="11">
        <v>2058</v>
      </c>
      <c r="I19" s="11">
        <v>2075</v>
      </c>
      <c r="J19" s="11">
        <v>2083</v>
      </c>
      <c r="K19" s="11">
        <v>2095</v>
      </c>
      <c r="L19" s="11">
        <v>2868</v>
      </c>
      <c r="M19" s="11">
        <v>2562</v>
      </c>
      <c r="N19" s="11">
        <v>2728</v>
      </c>
      <c r="O19" s="11">
        <v>3160</v>
      </c>
      <c r="P19" s="11">
        <v>3718</v>
      </c>
      <c r="Q19" s="11">
        <v>3747</v>
      </c>
      <c r="R19" s="11">
        <v>4457</v>
      </c>
      <c r="S19" s="11">
        <v>4302</v>
      </c>
      <c r="T19" s="11">
        <v>4960</v>
      </c>
      <c r="U19" s="12">
        <v>4986484</v>
      </c>
      <c r="V19" s="12">
        <v>5056959</v>
      </c>
      <c r="W19" s="12">
        <v>5404813</v>
      </c>
      <c r="X19" s="12">
        <v>5264178</v>
      </c>
      <c r="Y19" s="12">
        <v>5994980</v>
      </c>
      <c r="Z19" s="12">
        <v>6268527</v>
      </c>
    </row>
    <row r="20" spans="3:26" ht="15" customHeight="1" x14ac:dyDescent="0.35">
      <c r="C20" s="13" t="s">
        <v>38</v>
      </c>
      <c r="D20" s="14">
        <v>-12432</v>
      </c>
      <c r="E20" s="14">
        <v>-7273</v>
      </c>
      <c r="F20" s="14">
        <v>-7575</v>
      </c>
      <c r="G20" s="14">
        <v>17178</v>
      </c>
      <c r="H20" s="14">
        <v>-10556</v>
      </c>
      <c r="I20" s="14">
        <v>-5782</v>
      </c>
      <c r="J20" s="14">
        <v>-2460</v>
      </c>
      <c r="K20" s="14">
        <v>7658</v>
      </c>
      <c r="L20" s="14">
        <v>-16309</v>
      </c>
      <c r="M20" s="14">
        <v>-13525</v>
      </c>
      <c r="N20" s="14">
        <v>3506</v>
      </c>
      <c r="O20" s="14">
        <v>-15803</v>
      </c>
      <c r="P20" s="14">
        <f>P16-P19-2</f>
        <v>-24272</v>
      </c>
      <c r="Q20" s="14">
        <f>Q16-Q19</f>
        <v>4475</v>
      </c>
      <c r="R20" s="14">
        <v>-7372</v>
      </c>
      <c r="S20" s="14">
        <v>-22720</v>
      </c>
      <c r="T20" s="14">
        <f>T16-T19</f>
        <v>-8251</v>
      </c>
      <c r="U20" s="15">
        <v>6435811</v>
      </c>
      <c r="V20" s="15">
        <v>-4599633</v>
      </c>
      <c r="W20" s="15">
        <v>11124417</v>
      </c>
      <c r="X20" s="15">
        <v>-6908792</v>
      </c>
      <c r="Y20" s="15">
        <f>Y16-Y19</f>
        <v>-4924551</v>
      </c>
      <c r="Z20" s="15">
        <v>6422030</v>
      </c>
    </row>
    <row r="21" spans="3:26" ht="15" customHeight="1" x14ac:dyDescent="0.35">
      <c r="C21" s="3" t="s">
        <v>39</v>
      </c>
      <c r="D21" s="19">
        <v>7</v>
      </c>
      <c r="E21" s="19">
        <v>93</v>
      </c>
      <c r="F21" s="19">
        <v>1215</v>
      </c>
      <c r="G21" s="19">
        <v>538</v>
      </c>
      <c r="H21" s="19">
        <v>205</v>
      </c>
      <c r="I21" s="19">
        <v>913</v>
      </c>
      <c r="J21" s="19">
        <v>590</v>
      </c>
      <c r="K21" s="19">
        <v>2022</v>
      </c>
      <c r="L21" s="19">
        <v>632</v>
      </c>
      <c r="M21" s="19">
        <v>7312</v>
      </c>
      <c r="N21" s="19">
        <v>7448</v>
      </c>
      <c r="O21" s="19">
        <v>1926</v>
      </c>
      <c r="P21" s="19">
        <v>6545</v>
      </c>
      <c r="Q21" s="19">
        <v>2408</v>
      </c>
      <c r="R21" s="19">
        <v>216</v>
      </c>
      <c r="S21" s="19">
        <v>3023</v>
      </c>
      <c r="T21" s="19">
        <v>6184</v>
      </c>
      <c r="U21" s="20">
        <v>1005523</v>
      </c>
      <c r="V21" s="20">
        <v>484788</v>
      </c>
      <c r="W21" s="20">
        <v>9285980</v>
      </c>
      <c r="X21" s="20">
        <v>1597777</v>
      </c>
      <c r="Y21" s="20">
        <v>878148</v>
      </c>
      <c r="Z21" s="20">
        <v>1194482</v>
      </c>
    </row>
    <row r="22" spans="3:26" ht="15" customHeight="1" x14ac:dyDescent="0.35">
      <c r="C22" s="3" t="s">
        <v>40</v>
      </c>
      <c r="D22" s="19">
        <v>-1461</v>
      </c>
      <c r="E22" s="19">
        <v>-349</v>
      </c>
      <c r="F22" s="19">
        <v>-1947</v>
      </c>
      <c r="G22" s="19">
        <v>-3551</v>
      </c>
      <c r="H22" s="19">
        <v>-669</v>
      </c>
      <c r="I22" s="19">
        <v>-1351</v>
      </c>
      <c r="J22" s="19">
        <v>-788</v>
      </c>
      <c r="K22" s="19">
        <v>-2874</v>
      </c>
      <c r="L22" s="19">
        <v>-1792</v>
      </c>
      <c r="M22" s="19">
        <v>-1011</v>
      </c>
      <c r="N22" s="19">
        <v>-2532</v>
      </c>
      <c r="O22" s="19">
        <v>-9153</v>
      </c>
      <c r="P22" s="19">
        <v>-853</v>
      </c>
      <c r="Q22" s="19">
        <v>-871</v>
      </c>
      <c r="R22" s="19">
        <v>-1462</v>
      </c>
      <c r="S22" s="19">
        <v>-6119</v>
      </c>
      <c r="T22" s="19">
        <v>-1093</v>
      </c>
      <c r="U22" s="20">
        <v>-1242350</v>
      </c>
      <c r="V22" s="20">
        <v>-1254651</v>
      </c>
      <c r="W22" s="20">
        <v>-1033411</v>
      </c>
      <c r="X22" s="20">
        <v>-9055877</v>
      </c>
      <c r="Y22" s="20">
        <v>-6031126</v>
      </c>
      <c r="Z22" s="20">
        <v>-2104366</v>
      </c>
    </row>
    <row r="23" spans="3:26" ht="15" customHeight="1" x14ac:dyDescent="0.35">
      <c r="C23" s="3" t="s">
        <v>41</v>
      </c>
      <c r="D23" s="19">
        <v>-1454</v>
      </c>
      <c r="E23" s="19">
        <v>-256</v>
      </c>
      <c r="F23" s="19">
        <v>-732</v>
      </c>
      <c r="G23" s="19">
        <v>-3014</v>
      </c>
      <c r="H23" s="19">
        <v>-464</v>
      </c>
      <c r="I23" s="19">
        <v>-438</v>
      </c>
      <c r="J23" s="19">
        <v>-198</v>
      </c>
      <c r="K23" s="19">
        <v>-852</v>
      </c>
      <c r="L23" s="19">
        <v>-1161</v>
      </c>
      <c r="M23" s="19">
        <v>6301</v>
      </c>
      <c r="N23" s="19">
        <v>4916</v>
      </c>
      <c r="O23" s="19">
        <v>-7227</v>
      </c>
      <c r="P23" s="19">
        <v>5692</v>
      </c>
      <c r="Q23" s="19">
        <f>Q21+Q22</f>
        <v>1537</v>
      </c>
      <c r="R23" s="19">
        <v>-1246</v>
      </c>
      <c r="S23" s="19">
        <v>-3097</v>
      </c>
      <c r="T23" s="19">
        <v>5091</v>
      </c>
      <c r="U23" s="20">
        <v>-236827</v>
      </c>
      <c r="V23" s="20">
        <v>-769863</v>
      </c>
      <c r="W23" s="20">
        <v>8252569</v>
      </c>
      <c r="X23" s="20">
        <v>-7458100</v>
      </c>
      <c r="Y23" s="20">
        <v>-5152978</v>
      </c>
      <c r="Z23" s="20">
        <v>-909884</v>
      </c>
    </row>
    <row r="24" spans="3:26" ht="15" customHeight="1" x14ac:dyDescent="0.35">
      <c r="C24" s="2" t="s">
        <v>42</v>
      </c>
      <c r="D24" s="23">
        <v>-13886</v>
      </c>
      <c r="E24" s="23">
        <v>-7529</v>
      </c>
      <c r="F24" s="23">
        <v>-8307</v>
      </c>
      <c r="G24" s="23">
        <v>14165</v>
      </c>
      <c r="H24" s="23">
        <v>-11020</v>
      </c>
      <c r="I24" s="23">
        <v>-6220</v>
      </c>
      <c r="J24" s="23">
        <v>-2658</v>
      </c>
      <c r="K24" s="23">
        <v>6806</v>
      </c>
      <c r="L24" s="23">
        <v>-17469</v>
      </c>
      <c r="M24" s="23">
        <v>-7224</v>
      </c>
      <c r="N24" s="23">
        <v>8422</v>
      </c>
      <c r="O24" s="23">
        <v>-23030</v>
      </c>
      <c r="P24" s="23">
        <f>-18434-145-1</f>
        <v>-18580</v>
      </c>
      <c r="Q24" s="23">
        <f>Q20+Q23</f>
        <v>6012</v>
      </c>
      <c r="R24" s="23">
        <v>-8618</v>
      </c>
      <c r="S24" s="23">
        <v>-25817</v>
      </c>
      <c r="T24" s="23">
        <f>T20+T23</f>
        <v>-3160</v>
      </c>
      <c r="U24" s="24">
        <v>6198984</v>
      </c>
      <c r="V24" s="24">
        <v>-5369496</v>
      </c>
      <c r="W24" s="24">
        <v>19376986</v>
      </c>
      <c r="X24" s="24">
        <v>-14366892</v>
      </c>
      <c r="Y24" s="24">
        <f>Y20+Y23</f>
        <v>-10077529</v>
      </c>
      <c r="Z24" s="24">
        <v>5512146</v>
      </c>
    </row>
    <row r="25" spans="3:26" ht="15" customHeight="1" x14ac:dyDescent="0.35">
      <c r="C25" s="10" t="s">
        <v>43</v>
      </c>
      <c r="D25" s="11">
        <v>3055</v>
      </c>
      <c r="E25" s="11">
        <v>1646</v>
      </c>
      <c r="F25" s="11">
        <v>1619</v>
      </c>
      <c r="G25" s="11">
        <v>-3273</v>
      </c>
      <c r="H25" s="11">
        <v>2467</v>
      </c>
      <c r="I25" s="11">
        <v>1327</v>
      </c>
      <c r="J25" s="11">
        <v>567</v>
      </c>
      <c r="K25" s="11">
        <v>-2483</v>
      </c>
      <c r="L25" s="11">
        <v>3176</v>
      </c>
      <c r="M25" s="11">
        <v>872</v>
      </c>
      <c r="N25" s="11">
        <v>-1674</v>
      </c>
      <c r="O25" s="11">
        <v>4472</v>
      </c>
      <c r="P25" s="11">
        <f>3537+32</f>
        <v>3569</v>
      </c>
      <c r="Q25" s="11">
        <v>-2015</v>
      </c>
      <c r="R25" s="11">
        <v>1690</v>
      </c>
      <c r="S25" s="11">
        <v>5644</v>
      </c>
      <c r="T25" s="11">
        <v>544</v>
      </c>
      <c r="U25" s="12">
        <v>-1447770</v>
      </c>
      <c r="V25" s="12">
        <v>1234805</v>
      </c>
      <c r="W25" s="12">
        <v>-8417080</v>
      </c>
      <c r="X25" s="12">
        <v>2365160</v>
      </c>
      <c r="Y25" s="12">
        <v>1839417</v>
      </c>
      <c r="Z25" s="12">
        <v>-1646981</v>
      </c>
    </row>
    <row r="26" spans="3:26" ht="15" customHeight="1" x14ac:dyDescent="0.35">
      <c r="C26" s="13" t="s">
        <v>44</v>
      </c>
      <c r="D26" s="14">
        <v>-10831</v>
      </c>
      <c r="E26" s="14">
        <v>-5883</v>
      </c>
      <c r="F26" s="14">
        <v>-6688</v>
      </c>
      <c r="G26" s="14">
        <v>10892</v>
      </c>
      <c r="H26" s="14">
        <v>-8553</v>
      </c>
      <c r="I26" s="14">
        <v>-4894</v>
      </c>
      <c r="J26" s="14">
        <v>-2091</v>
      </c>
      <c r="K26" s="14">
        <v>4323</v>
      </c>
      <c r="L26" s="14">
        <v>-14294</v>
      </c>
      <c r="M26" s="14">
        <v>-6353</v>
      </c>
      <c r="N26" s="14">
        <v>6748</v>
      </c>
      <c r="O26" s="14">
        <v>-18558</v>
      </c>
      <c r="P26" s="14">
        <f>-14897-113</f>
        <v>-15010</v>
      </c>
      <c r="Q26" s="14">
        <f>Q24+Q25</f>
        <v>3997</v>
      </c>
      <c r="R26" s="14">
        <v>-6928</v>
      </c>
      <c r="S26" s="14">
        <v>-20173</v>
      </c>
      <c r="T26" s="14">
        <v>-2616</v>
      </c>
      <c r="U26" s="15">
        <v>4751214</v>
      </c>
      <c r="V26" s="15">
        <v>-4134691</v>
      </c>
      <c r="W26" s="15">
        <v>10959906</v>
      </c>
      <c r="X26" s="15">
        <v>-12001732</v>
      </c>
      <c r="Y26" s="15">
        <f>SUM(Y24:Y25)</f>
        <v>-8238112</v>
      </c>
      <c r="Z26" s="15">
        <v>3865165</v>
      </c>
    </row>
    <row r="27" spans="3:26" ht="15" customHeight="1" x14ac:dyDescent="0.35">
      <c r="Z27" s="3"/>
    </row>
    <row r="28" spans="3:26" ht="15.75" customHeight="1" x14ac:dyDescent="0.35">
      <c r="C28" s="3" t="s">
        <v>45</v>
      </c>
      <c r="H28" s="19">
        <v>-2</v>
      </c>
      <c r="I28" s="19">
        <v>5</v>
      </c>
      <c r="J28" s="19">
        <v>48</v>
      </c>
      <c r="K28" s="19">
        <v>7</v>
      </c>
      <c r="L28" s="19">
        <v>-32</v>
      </c>
      <c r="M28" s="19">
        <v>490</v>
      </c>
      <c r="N28" s="19">
        <v>357</v>
      </c>
      <c r="O28" s="19">
        <v>-399</v>
      </c>
      <c r="P28" s="25">
        <f>297-1</f>
        <v>296</v>
      </c>
      <c r="Q28" s="19">
        <v>141</v>
      </c>
      <c r="R28" s="19">
        <v>-71</v>
      </c>
      <c r="S28" s="19">
        <v>-215</v>
      </c>
      <c r="T28" s="20">
        <v>354916</v>
      </c>
      <c r="U28" s="20">
        <v>-87558</v>
      </c>
      <c r="V28" s="20">
        <v>-78017</v>
      </c>
      <c r="W28" s="20">
        <v>477361</v>
      </c>
      <c r="X28" s="20">
        <v>-526318</v>
      </c>
      <c r="Y28" s="20">
        <v>-299288</v>
      </c>
      <c r="Z28" s="20">
        <v>-72323.600000000006</v>
      </c>
    </row>
    <row r="29" spans="3:26" ht="15" customHeight="1" x14ac:dyDescent="0.35">
      <c r="C29" s="2" t="s">
        <v>46</v>
      </c>
      <c r="H29" s="23">
        <f t="shared" ref="H29:M29" si="0">H26+H28</f>
        <v>-8555</v>
      </c>
      <c r="I29" s="23">
        <f t="shared" si="0"/>
        <v>-4889</v>
      </c>
      <c r="J29" s="23">
        <f t="shared" si="0"/>
        <v>-2043</v>
      </c>
      <c r="K29" s="23">
        <f t="shared" si="0"/>
        <v>4330</v>
      </c>
      <c r="L29" s="23">
        <f t="shared" si="0"/>
        <v>-14326</v>
      </c>
      <c r="M29" s="23">
        <f t="shared" si="0"/>
        <v>-5863</v>
      </c>
      <c r="N29" s="23">
        <v>7105</v>
      </c>
      <c r="O29" s="23">
        <v>-18558</v>
      </c>
      <c r="P29" s="26">
        <f>-14600-113.471-2</f>
        <v>-14715.471</v>
      </c>
      <c r="Q29" s="23">
        <v>4138</v>
      </c>
      <c r="R29" s="23">
        <v>-6999</v>
      </c>
      <c r="S29" s="23">
        <v>-20388</v>
      </c>
      <c r="T29" s="24">
        <v>-2261044</v>
      </c>
      <c r="U29" s="24">
        <v>4663656</v>
      </c>
      <c r="V29" s="24">
        <v>-4212708</v>
      </c>
      <c r="W29" s="24">
        <v>11437267</v>
      </c>
      <c r="X29" s="24">
        <v>-12528050</v>
      </c>
      <c r="Y29" s="24">
        <f>Y26+Y28</f>
        <v>-8537400</v>
      </c>
      <c r="Z29" s="24">
        <v>3792841.4</v>
      </c>
    </row>
    <row r="30" spans="3:26" ht="14.1" customHeight="1" x14ac:dyDescent="0.35">
      <c r="Z30" s="2"/>
    </row>
    <row r="31" spans="3:26" ht="15" customHeight="1" x14ac:dyDescent="0.35">
      <c r="Z31" s="3"/>
    </row>
    <row r="32" spans="3:26" ht="15" customHeight="1" x14ac:dyDescent="0.35">
      <c r="Z32" s="3"/>
    </row>
    <row r="33" spans="3:26" ht="15" customHeight="1" x14ac:dyDescent="0.35">
      <c r="I33" s="4" t="s">
        <v>3</v>
      </c>
      <c r="J33" s="4" t="s">
        <v>3</v>
      </c>
      <c r="K33" s="4" t="s">
        <v>3</v>
      </c>
      <c r="L33" s="4" t="s">
        <v>3</v>
      </c>
      <c r="M33" s="4" t="s">
        <v>3</v>
      </c>
      <c r="N33" s="4" t="s">
        <v>3</v>
      </c>
      <c r="O33" s="4" t="s">
        <v>3</v>
      </c>
      <c r="P33" s="4" t="s">
        <v>4</v>
      </c>
      <c r="Q33" s="4" t="s">
        <v>3</v>
      </c>
      <c r="R33" s="4" t="s">
        <v>3</v>
      </c>
      <c r="S33" s="4" t="s">
        <v>3</v>
      </c>
      <c r="T33" s="4" t="s">
        <v>3</v>
      </c>
      <c r="U33" s="4" t="s">
        <v>3</v>
      </c>
      <c r="V33" s="4" t="s">
        <v>3</v>
      </c>
      <c r="W33" s="4" t="s">
        <v>3</v>
      </c>
      <c r="X33" s="4" t="s">
        <v>3</v>
      </c>
      <c r="Y33" s="4" t="s">
        <v>3</v>
      </c>
      <c r="Z33" s="4" t="s">
        <v>3</v>
      </c>
    </row>
    <row r="34" spans="3:26" ht="15.75" customHeight="1" x14ac:dyDescent="0.35">
      <c r="C34" s="27" t="s">
        <v>47</v>
      </c>
      <c r="I34" s="6" t="str">
        <f>I8</f>
        <v>Q2'21</v>
      </c>
      <c r="J34" s="6" t="s">
        <v>12</v>
      </c>
      <c r="K34" s="6" t="s">
        <v>13</v>
      </c>
      <c r="L34" s="6" t="s">
        <v>14</v>
      </c>
      <c r="M34" s="6" t="s">
        <v>15</v>
      </c>
      <c r="N34" s="6" t="s">
        <v>16</v>
      </c>
      <c r="O34" s="6" t="str">
        <f>O8</f>
        <v>Q4'22</v>
      </c>
      <c r="P34" s="6" t="s">
        <v>18</v>
      </c>
      <c r="Q34" s="6" t="str">
        <f>Q8</f>
        <v>Q2'23</v>
      </c>
      <c r="R34" s="6" t="s">
        <v>20</v>
      </c>
      <c r="S34" s="6" t="s">
        <v>21</v>
      </c>
      <c r="T34" s="6" t="str">
        <f>T8</f>
        <v>Q1'24</v>
      </c>
      <c r="U34" s="6" t="s">
        <v>23</v>
      </c>
      <c r="V34" s="6" t="s">
        <v>24</v>
      </c>
      <c r="W34" s="6" t="s">
        <v>25</v>
      </c>
      <c r="X34" s="6" t="s">
        <v>26</v>
      </c>
      <c r="Y34" s="6" t="str">
        <f>Y8</f>
        <v>Q2'25</v>
      </c>
      <c r="Z34" s="6" t="s">
        <v>28</v>
      </c>
    </row>
    <row r="35" spans="3:26" ht="15" customHeight="1" x14ac:dyDescent="0.35">
      <c r="C35" s="7" t="s">
        <v>29</v>
      </c>
      <c r="D35" s="7"/>
      <c r="E35" s="7"/>
      <c r="F35" s="7"/>
      <c r="G35" s="7"/>
      <c r="H35" s="7"/>
      <c r="I35" s="8">
        <v>34137</v>
      </c>
      <c r="J35" s="8">
        <v>44000</v>
      </c>
      <c r="K35" s="8">
        <v>54598</v>
      </c>
      <c r="L35" s="8">
        <v>58395</v>
      </c>
      <c r="M35" s="8">
        <v>63207</v>
      </c>
      <c r="N35" s="8">
        <v>76882</v>
      </c>
      <c r="O35" s="8">
        <v>52062</v>
      </c>
      <c r="P35" s="8">
        <f>SUM(M9:P9)</f>
        <v>50596</v>
      </c>
      <c r="Q35" s="8">
        <f t="shared" ref="Q35:T36" si="1">Q9+SUM(N9:P9)</f>
        <v>74155</v>
      </c>
      <c r="R35" s="8">
        <f t="shared" si="1"/>
        <v>68952</v>
      </c>
      <c r="S35" s="8">
        <f t="shared" si="1"/>
        <v>68320</v>
      </c>
      <c r="T35" s="8">
        <f t="shared" si="1"/>
        <v>86502</v>
      </c>
      <c r="U35" s="8">
        <v>87206</v>
      </c>
      <c r="V35" s="8">
        <v>93557</v>
      </c>
      <c r="W35" s="8">
        <v>131914</v>
      </c>
      <c r="X35" s="9">
        <v>136299753</v>
      </c>
      <c r="Y35" s="9">
        <f>SUM(V9:Y9)</f>
        <v>127017527</v>
      </c>
      <c r="Z35" s="9">
        <v>141052097</v>
      </c>
    </row>
    <row r="36" spans="3:26" ht="15" customHeight="1" x14ac:dyDescent="0.35">
      <c r="C36" s="10" t="s">
        <v>30</v>
      </c>
      <c r="I36" s="11">
        <v>12401</v>
      </c>
      <c r="J36" s="11">
        <v>11629</v>
      </c>
      <c r="K36" s="11">
        <v>8439</v>
      </c>
      <c r="L36" s="11">
        <v>5626</v>
      </c>
      <c r="M36" s="11">
        <v>2813</v>
      </c>
      <c r="N36" s="11">
        <v>0</v>
      </c>
      <c r="O36" s="11">
        <v>0</v>
      </c>
      <c r="P36" s="11">
        <f>P10+SUM(M10:O10)</f>
        <v>0</v>
      </c>
      <c r="Q36" s="11">
        <f t="shared" si="1"/>
        <v>310</v>
      </c>
      <c r="R36" s="11">
        <f t="shared" si="1"/>
        <v>954</v>
      </c>
      <c r="S36" s="11">
        <f t="shared" si="1"/>
        <v>1311</v>
      </c>
      <c r="T36" s="11">
        <f t="shared" si="1"/>
        <v>1668</v>
      </c>
      <c r="U36" s="11">
        <v>1715</v>
      </c>
      <c r="V36" s="11">
        <v>1428</v>
      </c>
      <c r="W36" s="11">
        <v>1429</v>
      </c>
      <c r="X36" s="12">
        <v>1429750</v>
      </c>
      <c r="Y36" s="12">
        <f>SUM(V10:Y10)</f>
        <v>1429750</v>
      </c>
      <c r="Z36" s="12">
        <v>1429752</v>
      </c>
    </row>
    <row r="37" spans="3:26" ht="15" customHeight="1" x14ac:dyDescent="0.35">
      <c r="C37" s="13" t="s">
        <v>31</v>
      </c>
      <c r="D37" s="13"/>
      <c r="E37" s="13"/>
      <c r="F37" s="13"/>
      <c r="G37" s="13"/>
      <c r="H37" s="13"/>
      <c r="I37" s="14">
        <v>46537</v>
      </c>
      <c r="J37" s="14">
        <v>55627</v>
      </c>
      <c r="K37" s="14">
        <v>63035</v>
      </c>
      <c r="L37" s="14">
        <v>64019</v>
      </c>
      <c r="M37" s="14">
        <v>66019</v>
      </c>
      <c r="N37" s="14">
        <v>76882</v>
      </c>
      <c r="O37" s="14">
        <v>52062</v>
      </c>
      <c r="P37" s="14">
        <v>50596</v>
      </c>
      <c r="Q37" s="14">
        <f>Q11+SUM(N11:P11)</f>
        <v>74465</v>
      </c>
      <c r="R37" s="14">
        <f>R11+SUM(O11:Q11)</f>
        <v>69906</v>
      </c>
      <c r="S37" s="14">
        <f>S11+SUM(P11:R11)</f>
        <v>69632</v>
      </c>
      <c r="T37" s="14">
        <f>SUM(T35:T36)</f>
        <v>88170</v>
      </c>
      <c r="U37" s="14">
        <v>88922</v>
      </c>
      <c r="V37" s="14">
        <v>94986</v>
      </c>
      <c r="W37" s="14">
        <v>133343</v>
      </c>
      <c r="X37" s="15">
        <v>137729503</v>
      </c>
      <c r="Y37" s="15">
        <f>SUM(Y35:Y36)</f>
        <v>128447277</v>
      </c>
      <c r="Z37" s="15">
        <v>142481849</v>
      </c>
    </row>
    <row r="38" spans="3:26" ht="12.6" customHeight="1" x14ac:dyDescent="0.35">
      <c r="C38" s="16" t="s">
        <v>32</v>
      </c>
      <c r="M38" s="17">
        <v>0.85</v>
      </c>
      <c r="N38" s="17">
        <v>0.75</v>
      </c>
      <c r="O38" s="17">
        <v>-0.05</v>
      </c>
      <c r="P38" s="18">
        <f t="shared" ref="P38:V38" si="2">P35/L35-1</f>
        <v>-0.133555955133145</v>
      </c>
      <c r="Q38" s="18">
        <f t="shared" si="2"/>
        <v>0.1732086635973864</v>
      </c>
      <c r="R38" s="18">
        <f t="shared" si="2"/>
        <v>-0.10314507947243823</v>
      </c>
      <c r="S38" s="18">
        <f t="shared" si="2"/>
        <v>0.31228151050670361</v>
      </c>
      <c r="T38" s="18">
        <f t="shared" si="2"/>
        <v>0.70966084275436803</v>
      </c>
      <c r="U38" s="18">
        <f t="shared" si="2"/>
        <v>0.17599622412514337</v>
      </c>
      <c r="V38" s="18">
        <f t="shared" si="2"/>
        <v>0.3568424411184592</v>
      </c>
      <c r="W38" s="18">
        <v>0.93082552693208398</v>
      </c>
      <c r="X38" s="18">
        <v>0.57999999999999996</v>
      </c>
      <c r="Y38" s="18">
        <v>0.46</v>
      </c>
      <c r="Z38" s="18">
        <v>0.51</v>
      </c>
    </row>
    <row r="39" spans="3:26" ht="15" customHeight="1" x14ac:dyDescent="0.35">
      <c r="Z39" s="2"/>
    </row>
    <row r="40" spans="3:26" ht="15" customHeight="1" x14ac:dyDescent="0.35">
      <c r="C40" s="3" t="s">
        <v>33</v>
      </c>
      <c r="I40" s="19">
        <v>33056</v>
      </c>
      <c r="J40" s="19">
        <v>37248</v>
      </c>
      <c r="K40" s="19">
        <v>50807</v>
      </c>
      <c r="L40" s="19">
        <v>54372</v>
      </c>
      <c r="M40" s="19">
        <v>61916</v>
      </c>
      <c r="N40" s="19">
        <v>64651</v>
      </c>
      <c r="O40" s="19">
        <v>62802</v>
      </c>
      <c r="P40" s="19">
        <f t="shared" ref="P40:T41" si="3">SUM(M14:P14)</f>
        <v>67843</v>
      </c>
      <c r="Q40" s="19">
        <f t="shared" si="3"/>
        <v>71495</v>
      </c>
      <c r="R40" s="19">
        <f t="shared" si="3"/>
        <v>75726</v>
      </c>
      <c r="S40" s="19">
        <f t="shared" si="3"/>
        <v>80552</v>
      </c>
      <c r="T40" s="19">
        <f t="shared" si="3"/>
        <v>83162</v>
      </c>
      <c r="U40" s="19">
        <v>81018</v>
      </c>
      <c r="V40" s="19">
        <v>84071</v>
      </c>
      <c r="W40" s="19">
        <v>87861</v>
      </c>
      <c r="X40" s="20">
        <v>88269372</v>
      </c>
      <c r="Y40" s="20">
        <f t="shared" ref="Y40:Y42" si="4">SUM(V14:Y14)</f>
        <v>89412850</v>
      </c>
      <c r="Z40" s="20">
        <v>88915687</v>
      </c>
    </row>
    <row r="41" spans="3:26" ht="15" customHeight="1" x14ac:dyDescent="0.35">
      <c r="C41" s="10" t="s">
        <v>34</v>
      </c>
      <c r="I41" s="11">
        <v>13362</v>
      </c>
      <c r="J41" s="11">
        <v>12418</v>
      </c>
      <c r="K41" s="11">
        <v>15058</v>
      </c>
      <c r="L41" s="11">
        <v>17420</v>
      </c>
      <c r="M41" s="11">
        <v>19132</v>
      </c>
      <c r="N41" s="11">
        <v>20649</v>
      </c>
      <c r="O41" s="11">
        <v>20073</v>
      </c>
      <c r="P41" s="11">
        <f t="shared" si="3"/>
        <v>20678</v>
      </c>
      <c r="Q41" s="11">
        <f t="shared" si="3"/>
        <v>21710</v>
      </c>
      <c r="R41" s="11">
        <f t="shared" si="3"/>
        <v>22068</v>
      </c>
      <c r="S41" s="11">
        <f t="shared" si="3"/>
        <v>22744</v>
      </c>
      <c r="T41" s="11">
        <f t="shared" si="3"/>
        <v>21413</v>
      </c>
      <c r="U41" s="11">
        <v>21107</v>
      </c>
      <c r="V41" s="11">
        <v>20746</v>
      </c>
      <c r="W41" s="11">
        <v>20365</v>
      </c>
      <c r="X41" s="12">
        <v>22695894</v>
      </c>
      <c r="Y41" s="12">
        <f t="shared" si="4"/>
        <v>22622056</v>
      </c>
      <c r="Z41" s="12">
        <v>24920560</v>
      </c>
    </row>
    <row r="42" spans="3:26" ht="15" customHeight="1" x14ac:dyDescent="0.35">
      <c r="C42" s="13" t="s">
        <v>35</v>
      </c>
      <c r="D42" s="13"/>
      <c r="E42" s="13"/>
      <c r="F42" s="13"/>
      <c r="G42" s="13"/>
      <c r="H42" s="13"/>
      <c r="I42" s="14">
        <v>121</v>
      </c>
      <c r="J42" s="14">
        <v>5964</v>
      </c>
      <c r="K42" s="14">
        <v>-2828</v>
      </c>
      <c r="L42" s="14">
        <v>-7771</v>
      </c>
      <c r="M42" s="14">
        <v>-15028</v>
      </c>
      <c r="N42" s="14">
        <v>-8418</v>
      </c>
      <c r="O42" s="14">
        <v>-30814</v>
      </c>
      <c r="P42" s="14">
        <f>SUM(M16:P16)</f>
        <v>-37925</v>
      </c>
      <c r="Q42" s="14">
        <f>Q16+SUM(N16:P16)</f>
        <v>-18739</v>
      </c>
      <c r="R42" s="14">
        <f>SUM(O16:R16)</f>
        <v>-27888</v>
      </c>
      <c r="S42" s="14">
        <f>SUM(P16:S16)</f>
        <v>-33664</v>
      </c>
      <c r="T42" s="14">
        <f>SUM(Q16:T16)</f>
        <v>-16403</v>
      </c>
      <c r="U42" s="14">
        <v>-13203</v>
      </c>
      <c r="V42" s="14">
        <v>-9831</v>
      </c>
      <c r="W42" s="14">
        <v>25118</v>
      </c>
      <c r="X42" s="15">
        <v>26764237</v>
      </c>
      <c r="Y42" s="15">
        <f t="shared" si="4"/>
        <v>16412371</v>
      </c>
      <c r="Z42" s="15">
        <v>28645602</v>
      </c>
    </row>
    <row r="43" spans="3:26" ht="12.6" customHeight="1" x14ac:dyDescent="0.35">
      <c r="C43" s="16" t="s">
        <v>36</v>
      </c>
      <c r="J43" s="21">
        <v>-0.89</v>
      </c>
      <c r="K43" s="21">
        <v>-1.04</v>
      </c>
      <c r="L43" s="21">
        <v>-1.1200000000000001</v>
      </c>
      <c r="M43" s="21">
        <v>-1.23</v>
      </c>
      <c r="N43" s="21">
        <v>-1.1100000000000001</v>
      </c>
      <c r="O43" s="21">
        <v>-1.28</v>
      </c>
      <c r="P43" s="18">
        <f t="shared" ref="P43:V43" si="5">P42/P37</f>
        <v>-0.74956518301842046</v>
      </c>
      <c r="Q43" s="18">
        <f t="shared" si="5"/>
        <v>-0.25164842543476801</v>
      </c>
      <c r="R43" s="18">
        <f t="shared" si="5"/>
        <v>-0.39893571367264613</v>
      </c>
      <c r="S43" s="18">
        <f t="shared" si="5"/>
        <v>-0.48345588235294118</v>
      </c>
      <c r="T43" s="18">
        <f t="shared" si="5"/>
        <v>-0.18603833503459227</v>
      </c>
      <c r="U43" s="18">
        <f t="shared" si="5"/>
        <v>-0.14847844178043679</v>
      </c>
      <c r="V43" s="18">
        <f t="shared" si="5"/>
        <v>-0.1034994630787695</v>
      </c>
      <c r="W43" s="18">
        <v>0.18837134307762701</v>
      </c>
      <c r="X43" s="18">
        <v>0.19432464662273599</v>
      </c>
      <c r="Y43" s="18">
        <f>Y42/Y37</f>
        <v>0.1277751571175775</v>
      </c>
      <c r="Z43" s="18">
        <v>0.20104737691886634</v>
      </c>
    </row>
    <row r="44" spans="3:26" ht="12.6" customHeight="1" x14ac:dyDescent="0.35">
      <c r="Z44" s="16"/>
    </row>
    <row r="45" spans="3:26" ht="15" customHeight="1" x14ac:dyDescent="0.35">
      <c r="C45" s="10" t="s">
        <v>37</v>
      </c>
      <c r="I45" s="11">
        <v>6856</v>
      </c>
      <c r="J45" s="11">
        <v>7584</v>
      </c>
      <c r="K45" s="11">
        <v>8311</v>
      </c>
      <c r="L45" s="11">
        <v>9121</v>
      </c>
      <c r="M45" s="11">
        <v>9608</v>
      </c>
      <c r="N45" s="11">
        <v>10253</v>
      </c>
      <c r="O45" s="11">
        <v>11317</v>
      </c>
      <c r="P45" s="11">
        <v>12168</v>
      </c>
      <c r="Q45" s="11">
        <f t="shared" ref="Q45:T52" si="6">Q19+SUM(N19:P19)</f>
        <v>13353</v>
      </c>
      <c r="R45" s="11">
        <f t="shared" si="6"/>
        <v>15082</v>
      </c>
      <c r="S45" s="11">
        <f t="shared" si="6"/>
        <v>16224</v>
      </c>
      <c r="T45" s="11">
        <f t="shared" si="6"/>
        <v>17466</v>
      </c>
      <c r="U45" s="11">
        <v>18705</v>
      </c>
      <c r="V45" s="11">
        <v>19305</v>
      </c>
      <c r="W45" s="11">
        <v>20408</v>
      </c>
      <c r="X45" s="12">
        <v>20712434</v>
      </c>
      <c r="Y45" s="12">
        <f t="shared" ref="Y45:Y52" si="7">SUM(V19:Y19)</f>
        <v>21720930</v>
      </c>
      <c r="Z45" s="12">
        <v>22932498</v>
      </c>
    </row>
    <row r="46" spans="3:26" ht="15" customHeight="1" x14ac:dyDescent="0.35">
      <c r="C46" s="13" t="s">
        <v>38</v>
      </c>
      <c r="D46" s="13"/>
      <c r="E46" s="13"/>
      <c r="F46" s="13"/>
      <c r="G46" s="13"/>
      <c r="H46" s="13"/>
      <c r="I46" s="14">
        <v>-6735</v>
      </c>
      <c r="J46" s="14">
        <v>-1620</v>
      </c>
      <c r="K46" s="14">
        <v>-11140</v>
      </c>
      <c r="L46" s="14">
        <v>-16893</v>
      </c>
      <c r="M46" s="14">
        <v>-24636</v>
      </c>
      <c r="N46" s="14">
        <v>-18670</v>
      </c>
      <c r="O46" s="14">
        <v>-42131</v>
      </c>
      <c r="P46" s="14">
        <f>P42-P45</f>
        <v>-50093</v>
      </c>
      <c r="Q46" s="14">
        <f t="shared" si="6"/>
        <v>-32094</v>
      </c>
      <c r="R46" s="14">
        <f t="shared" si="6"/>
        <v>-42972</v>
      </c>
      <c r="S46" s="14">
        <f t="shared" si="6"/>
        <v>-49889</v>
      </c>
      <c r="T46" s="14">
        <f t="shared" si="6"/>
        <v>-33868</v>
      </c>
      <c r="U46" s="14">
        <v>-31907</v>
      </c>
      <c r="V46" s="14">
        <v>-29135</v>
      </c>
      <c r="W46" s="14">
        <v>4710</v>
      </c>
      <c r="X46" s="15">
        <v>6051803</v>
      </c>
      <c r="Y46" s="15">
        <f t="shared" si="7"/>
        <v>-5308559</v>
      </c>
      <c r="Z46" s="15">
        <v>5713104</v>
      </c>
    </row>
    <row r="47" spans="3:26" ht="15" customHeight="1" x14ac:dyDescent="0.35">
      <c r="C47" s="3" t="s">
        <v>39</v>
      </c>
      <c r="I47" s="19">
        <v>2871</v>
      </c>
      <c r="J47" s="19">
        <v>2246</v>
      </c>
      <c r="K47" s="19">
        <v>3730</v>
      </c>
      <c r="L47" s="19">
        <v>4157</v>
      </c>
      <c r="M47" s="19">
        <v>10556</v>
      </c>
      <c r="N47" s="19">
        <v>17414</v>
      </c>
      <c r="O47" s="19">
        <v>17317</v>
      </c>
      <c r="P47" s="19">
        <v>23231</v>
      </c>
      <c r="Q47" s="19">
        <f t="shared" si="6"/>
        <v>18327</v>
      </c>
      <c r="R47" s="19">
        <f t="shared" si="6"/>
        <v>11095</v>
      </c>
      <c r="S47" s="19">
        <f t="shared" si="6"/>
        <v>12192</v>
      </c>
      <c r="T47" s="19">
        <f t="shared" si="6"/>
        <v>11831</v>
      </c>
      <c r="U47" s="19">
        <v>10429</v>
      </c>
      <c r="V47" s="19">
        <v>10698</v>
      </c>
      <c r="W47" s="19">
        <v>16960</v>
      </c>
      <c r="X47" s="20">
        <v>12374068</v>
      </c>
      <c r="Y47" s="20">
        <f t="shared" si="7"/>
        <v>12246693</v>
      </c>
      <c r="Z47" s="20">
        <v>12956387</v>
      </c>
    </row>
    <row r="48" spans="3:26" ht="15" customHeight="1" x14ac:dyDescent="0.35">
      <c r="C48" s="3" t="s">
        <v>40</v>
      </c>
      <c r="I48" s="19">
        <v>-7518</v>
      </c>
      <c r="J48" s="19">
        <v>-6359</v>
      </c>
      <c r="K48" s="19">
        <v>-5682</v>
      </c>
      <c r="L48" s="19">
        <v>-6805</v>
      </c>
      <c r="M48" s="19">
        <v>-6465</v>
      </c>
      <c r="N48" s="19">
        <v>-8209</v>
      </c>
      <c r="O48" s="19">
        <v>-14488</v>
      </c>
      <c r="P48" s="19">
        <v>-13549</v>
      </c>
      <c r="Q48" s="19">
        <f t="shared" si="6"/>
        <v>-13409</v>
      </c>
      <c r="R48" s="19">
        <f t="shared" si="6"/>
        <v>-12339</v>
      </c>
      <c r="S48" s="19">
        <f t="shared" si="6"/>
        <v>-9305</v>
      </c>
      <c r="T48" s="19">
        <f t="shared" si="6"/>
        <v>-9545</v>
      </c>
      <c r="U48" s="19">
        <v>-9916</v>
      </c>
      <c r="V48" s="19">
        <v>-9709</v>
      </c>
      <c r="W48" s="19">
        <v>-4623</v>
      </c>
      <c r="X48" s="20">
        <v>-12586289</v>
      </c>
      <c r="Y48" s="20">
        <f t="shared" si="7"/>
        <v>-17375065</v>
      </c>
      <c r="Z48" s="20">
        <v>-18224780</v>
      </c>
    </row>
    <row r="49" spans="3:27" ht="15" customHeight="1" x14ac:dyDescent="0.35">
      <c r="C49" s="3" t="s">
        <v>41</v>
      </c>
      <c r="I49" s="19">
        <v>-4648</v>
      </c>
      <c r="J49" s="19">
        <v>-4114</v>
      </c>
      <c r="K49" s="19">
        <v>-1952</v>
      </c>
      <c r="L49" s="19">
        <v>-2649</v>
      </c>
      <c r="M49" s="19">
        <v>4090</v>
      </c>
      <c r="N49" s="19">
        <v>9204</v>
      </c>
      <c r="O49" s="19">
        <v>2829</v>
      </c>
      <c r="P49" s="19">
        <v>9682</v>
      </c>
      <c r="Q49" s="19">
        <f t="shared" si="6"/>
        <v>4918</v>
      </c>
      <c r="R49" s="19">
        <f t="shared" si="6"/>
        <v>-1244</v>
      </c>
      <c r="S49" s="19">
        <f t="shared" si="6"/>
        <v>2886</v>
      </c>
      <c r="T49" s="19">
        <f t="shared" si="6"/>
        <v>2285</v>
      </c>
      <c r="U49" s="19">
        <v>511</v>
      </c>
      <c r="V49" s="19">
        <v>987</v>
      </c>
      <c r="W49" s="19">
        <v>12337</v>
      </c>
      <c r="X49" s="20">
        <v>-212221</v>
      </c>
      <c r="Y49" s="20">
        <f t="shared" si="7"/>
        <v>-5128372</v>
      </c>
      <c r="Z49" s="20">
        <v>-5268393</v>
      </c>
    </row>
    <row r="50" spans="3:27" ht="15" customHeight="1" x14ac:dyDescent="0.35">
      <c r="C50" s="2" t="s">
        <v>42</v>
      </c>
      <c r="I50" s="23">
        <v>-11382</v>
      </c>
      <c r="J50" s="23">
        <v>-5733</v>
      </c>
      <c r="K50" s="23">
        <v>-13092</v>
      </c>
      <c r="L50" s="23">
        <v>-19541</v>
      </c>
      <c r="M50" s="23">
        <v>-20545</v>
      </c>
      <c r="N50" s="23">
        <v>-9465</v>
      </c>
      <c r="O50" s="23">
        <v>-39302</v>
      </c>
      <c r="P50" s="23">
        <f>SUM(M24:P24)</f>
        <v>-40412</v>
      </c>
      <c r="Q50" s="23">
        <f t="shared" si="6"/>
        <v>-27176</v>
      </c>
      <c r="R50" s="23">
        <f t="shared" si="6"/>
        <v>-44216</v>
      </c>
      <c r="S50" s="23">
        <f t="shared" si="6"/>
        <v>-47003</v>
      </c>
      <c r="T50" s="23">
        <f t="shared" si="6"/>
        <v>-31583</v>
      </c>
      <c r="U50" s="23">
        <v>-31396</v>
      </c>
      <c r="V50" s="23">
        <v>-28147</v>
      </c>
      <c r="W50" s="23">
        <v>17047</v>
      </c>
      <c r="X50" s="24">
        <v>5839582</v>
      </c>
      <c r="Y50" s="24">
        <f t="shared" si="7"/>
        <v>-10436931</v>
      </c>
      <c r="Z50" s="24">
        <v>444711</v>
      </c>
    </row>
    <row r="51" spans="3:27" ht="15" customHeight="1" x14ac:dyDescent="0.35">
      <c r="C51" s="10" t="s">
        <v>43</v>
      </c>
      <c r="I51" s="11">
        <v>2140</v>
      </c>
      <c r="J51" s="11">
        <v>1088</v>
      </c>
      <c r="K51" s="11">
        <v>1878</v>
      </c>
      <c r="L51" s="11">
        <v>2587</v>
      </c>
      <c r="M51" s="11">
        <v>2132</v>
      </c>
      <c r="N51" s="11">
        <v>-109</v>
      </c>
      <c r="O51" s="11">
        <v>6846</v>
      </c>
      <c r="P51" s="28">
        <f>SUM(M25:P25)</f>
        <v>7239</v>
      </c>
      <c r="Q51" s="11">
        <f t="shared" si="6"/>
        <v>4352</v>
      </c>
      <c r="R51" s="11">
        <f t="shared" si="6"/>
        <v>7716</v>
      </c>
      <c r="S51" s="11">
        <f t="shared" si="6"/>
        <v>8888</v>
      </c>
      <c r="T51" s="11">
        <f t="shared" si="6"/>
        <v>5863</v>
      </c>
      <c r="U51" s="11">
        <v>6430</v>
      </c>
      <c r="V51" s="11">
        <v>5975</v>
      </c>
      <c r="W51" s="11">
        <v>-8086</v>
      </c>
      <c r="X51" s="12">
        <v>-6264885</v>
      </c>
      <c r="Y51" s="12">
        <f t="shared" si="7"/>
        <v>-2977698</v>
      </c>
      <c r="Z51" s="12">
        <v>-5859484</v>
      </c>
    </row>
    <row r="52" spans="3:27" ht="15" customHeight="1" x14ac:dyDescent="0.35">
      <c r="C52" s="13" t="s">
        <v>44</v>
      </c>
      <c r="D52" s="13"/>
      <c r="E52" s="13"/>
      <c r="F52" s="13"/>
      <c r="G52" s="13"/>
      <c r="H52" s="13"/>
      <c r="I52" s="14">
        <v>-9243</v>
      </c>
      <c r="J52" s="14">
        <v>-4646</v>
      </c>
      <c r="K52" s="14">
        <v>-11215</v>
      </c>
      <c r="L52" s="14">
        <v>-16956</v>
      </c>
      <c r="M52" s="14">
        <v>-18415</v>
      </c>
      <c r="N52" s="14">
        <v>-9576</v>
      </c>
      <c r="O52" s="14">
        <v>-32456</v>
      </c>
      <c r="P52" s="14">
        <f>SUM(M26:P26)</f>
        <v>-33173</v>
      </c>
      <c r="Q52" s="14">
        <f t="shared" si="6"/>
        <v>-22823</v>
      </c>
      <c r="R52" s="14">
        <f t="shared" si="6"/>
        <v>-36499</v>
      </c>
      <c r="S52" s="14">
        <f t="shared" si="6"/>
        <v>-38114</v>
      </c>
      <c r="T52" s="14">
        <f t="shared" si="6"/>
        <v>-25720</v>
      </c>
      <c r="U52" s="14">
        <v>-24966</v>
      </c>
      <c r="V52" s="14">
        <v>-22173</v>
      </c>
      <c r="W52" s="14">
        <v>8960</v>
      </c>
      <c r="X52" s="15">
        <v>-425303</v>
      </c>
      <c r="Y52" s="15">
        <f t="shared" si="7"/>
        <v>-13414629</v>
      </c>
      <c r="Z52" s="15">
        <v>-5414773</v>
      </c>
    </row>
    <row r="53" spans="3:27" ht="15" customHeight="1" x14ac:dyDescent="0.35">
      <c r="Z53" s="2"/>
    </row>
    <row r="54" spans="3:27" ht="15" customHeight="1" x14ac:dyDescent="0.35">
      <c r="Z54" s="2"/>
    </row>
    <row r="55" spans="3:27" ht="15" customHeight="1" x14ac:dyDescent="0.35">
      <c r="K55" s="4" t="s">
        <v>3</v>
      </c>
      <c r="L55" s="4" t="s">
        <v>3</v>
      </c>
      <c r="M55" s="4" t="s">
        <v>3</v>
      </c>
      <c r="N55" s="4" t="s">
        <v>3</v>
      </c>
      <c r="O55" s="4" t="s">
        <v>3</v>
      </c>
      <c r="P55" s="4" t="s">
        <v>4</v>
      </c>
      <c r="Q55" s="4" t="s">
        <v>3</v>
      </c>
      <c r="R55" s="4" t="s">
        <v>3</v>
      </c>
      <c r="S55" s="4" t="s">
        <v>4</v>
      </c>
      <c r="T55" s="4" t="s">
        <v>4</v>
      </c>
      <c r="U55" s="4" t="s">
        <v>4</v>
      </c>
      <c r="V55" s="4" t="s">
        <v>4</v>
      </c>
      <c r="W55" s="4" t="s">
        <v>3</v>
      </c>
      <c r="X55" s="4" t="s">
        <v>3</v>
      </c>
      <c r="Y55" s="4" t="s">
        <v>3</v>
      </c>
      <c r="Z55" s="4" t="s">
        <v>3</v>
      </c>
    </row>
    <row r="56" spans="3:27" ht="15.75" customHeight="1" x14ac:dyDescent="0.35">
      <c r="C56" s="27" t="s">
        <v>48</v>
      </c>
      <c r="K56" s="6" t="str">
        <f>K34</f>
        <v>Q4'21</v>
      </c>
      <c r="L56" s="6" t="str">
        <f>L34</f>
        <v>Q1'22</v>
      </c>
      <c r="M56" s="6" t="str">
        <f>M34</f>
        <v>Q2'22</v>
      </c>
      <c r="N56" s="6" t="str">
        <f>N34</f>
        <v>Q3'22</v>
      </c>
      <c r="O56" s="6" t="s">
        <v>17</v>
      </c>
      <c r="P56" s="6" t="s">
        <v>18</v>
      </c>
      <c r="Q56" s="6" t="s">
        <v>19</v>
      </c>
      <c r="R56" s="6" t="s">
        <v>20</v>
      </c>
      <c r="S56" s="6" t="s">
        <v>21</v>
      </c>
      <c r="T56" s="6" t="s">
        <v>22</v>
      </c>
      <c r="U56" s="6" t="s">
        <v>23</v>
      </c>
      <c r="V56" s="6" t="s">
        <v>24</v>
      </c>
      <c r="W56" s="6" t="s">
        <v>25</v>
      </c>
      <c r="X56" s="6" t="s">
        <v>26</v>
      </c>
      <c r="Y56" s="6" t="s">
        <v>27</v>
      </c>
      <c r="Z56" s="6" t="s">
        <v>28</v>
      </c>
    </row>
    <row r="57" spans="3:27" ht="15" customHeight="1" x14ac:dyDescent="0.35">
      <c r="C57" s="7" t="s">
        <v>49</v>
      </c>
      <c r="D57" s="7"/>
      <c r="E57" s="7"/>
      <c r="F57" s="7"/>
      <c r="G57" s="7"/>
      <c r="H57" s="7"/>
      <c r="I57" s="7"/>
      <c r="J57" s="7"/>
      <c r="K57" s="8">
        <v>36564</v>
      </c>
      <c r="L57" s="8">
        <v>38899</v>
      </c>
      <c r="M57" s="8">
        <v>40898</v>
      </c>
      <c r="N57" s="8">
        <v>43235</v>
      </c>
      <c r="O57" s="8">
        <v>47574</v>
      </c>
      <c r="P57" s="8">
        <f>49714-2185</f>
        <v>47529</v>
      </c>
      <c r="Q57" s="8">
        <v>51943</v>
      </c>
      <c r="R57" s="8">
        <v>54312</v>
      </c>
      <c r="S57" s="8">
        <f>57814-2185</f>
        <v>55629</v>
      </c>
      <c r="T57" s="9">
        <v>58616845</v>
      </c>
      <c r="U57" s="9">
        <v>62433706</v>
      </c>
      <c r="V57" s="9">
        <v>65355626</v>
      </c>
      <c r="W57" s="9">
        <v>66252409.946500003</v>
      </c>
      <c r="X57" s="9">
        <v>68695859.120000005</v>
      </c>
      <c r="Y57" s="9">
        <v>70723043.219999999</v>
      </c>
      <c r="Z57" s="9">
        <v>72121067.520500004</v>
      </c>
    </row>
    <row r="58" spans="3:27" ht="15" customHeight="1" x14ac:dyDescent="0.35">
      <c r="C58" s="3" t="s">
        <v>50</v>
      </c>
      <c r="K58" s="19">
        <v>69842</v>
      </c>
      <c r="L58" s="19">
        <v>72707</v>
      </c>
      <c r="M58" s="19">
        <v>73468</v>
      </c>
      <c r="N58" s="19">
        <v>71026</v>
      </c>
      <c r="O58" s="19">
        <v>76673</v>
      </c>
      <c r="P58" s="19">
        <f>82175+481</f>
        <v>82656</v>
      </c>
      <c r="Q58" s="19">
        <v>79893</v>
      </c>
      <c r="R58" s="19">
        <v>101805</v>
      </c>
      <c r="S58" s="19">
        <f>106453+481</f>
        <v>106934</v>
      </c>
      <c r="T58" s="20">
        <v>107407217</v>
      </c>
      <c r="U58" s="20">
        <v>103001260</v>
      </c>
      <c r="V58" s="20">
        <v>103004549</v>
      </c>
      <c r="W58" s="20">
        <v>99322471.488000005</v>
      </c>
      <c r="X58" s="20">
        <v>100774533.09999999</v>
      </c>
      <c r="Y58" s="20">
        <v>101885193.28</v>
      </c>
      <c r="Z58" s="20">
        <v>97832253.680000007</v>
      </c>
      <c r="AA58" s="1"/>
    </row>
    <row r="59" spans="3:27" ht="15" customHeight="1" x14ac:dyDescent="0.35">
      <c r="C59" s="3" t="s">
        <v>51</v>
      </c>
      <c r="K59" s="19">
        <v>218151</v>
      </c>
      <c r="L59" s="19">
        <v>219296</v>
      </c>
      <c r="M59" s="19">
        <v>215357</v>
      </c>
      <c r="N59" s="19">
        <v>199651</v>
      </c>
      <c r="O59" s="19">
        <v>178219</v>
      </c>
      <c r="P59" s="19">
        <v>153951</v>
      </c>
      <c r="Q59" s="19">
        <v>133600</v>
      </c>
      <c r="R59" s="19">
        <v>119527</v>
      </c>
      <c r="S59" s="19">
        <v>115582</v>
      </c>
      <c r="T59" s="20">
        <v>99925930</v>
      </c>
      <c r="U59" s="20">
        <v>96894641</v>
      </c>
      <c r="V59" s="20">
        <v>67119210</v>
      </c>
      <c r="W59" s="20">
        <v>76390244.466593996</v>
      </c>
      <c r="X59" s="20">
        <v>76781027.599831998</v>
      </c>
      <c r="Y59" s="20">
        <v>56954589.466972001</v>
      </c>
      <c r="Z59" s="20">
        <v>54806232.377011001</v>
      </c>
    </row>
    <row r="60" spans="3:27" ht="15" customHeight="1" x14ac:dyDescent="0.35">
      <c r="C60" s="10" t="s">
        <v>52</v>
      </c>
      <c r="K60" s="11">
        <v>46799</v>
      </c>
      <c r="L60" s="11">
        <v>26098</v>
      </c>
      <c r="M60" s="11">
        <v>23792</v>
      </c>
      <c r="N60" s="11">
        <v>48215</v>
      </c>
      <c r="O60" s="11">
        <v>47400</v>
      </c>
      <c r="P60" s="11">
        <v>50071</v>
      </c>
      <c r="Q60" s="11">
        <v>76367</v>
      </c>
      <c r="R60" s="11">
        <v>86490</v>
      </c>
      <c r="S60" s="11">
        <v>70060</v>
      </c>
      <c r="T60" s="12">
        <v>80398899</v>
      </c>
      <c r="U60" s="12">
        <v>92443089</v>
      </c>
      <c r="V60" s="12">
        <v>110913892</v>
      </c>
      <c r="W60" s="12">
        <v>119061098.533406</v>
      </c>
      <c r="X60" s="12">
        <v>102394763.400168</v>
      </c>
      <c r="Y60" s="12">
        <v>106809211.53302801</v>
      </c>
      <c r="Z60" s="12">
        <v>112159334.622989</v>
      </c>
      <c r="AA60" s="1"/>
    </row>
    <row r="61" spans="3:27" ht="15" customHeight="1" x14ac:dyDescent="0.35">
      <c r="C61" s="29" t="s">
        <v>53</v>
      </c>
      <c r="D61" s="29"/>
      <c r="E61" s="29"/>
      <c r="F61" s="29"/>
      <c r="G61" s="29"/>
      <c r="H61" s="29"/>
      <c r="I61" s="29"/>
      <c r="J61" s="29"/>
      <c r="K61" s="30">
        <v>371355</v>
      </c>
      <c r="L61" s="30">
        <v>357001</v>
      </c>
      <c r="M61" s="30">
        <v>353514</v>
      </c>
      <c r="N61" s="30">
        <v>362128</v>
      </c>
      <c r="O61" s="30">
        <v>349866</v>
      </c>
      <c r="P61" s="30">
        <f>SUM(P57:P60)</f>
        <v>334207</v>
      </c>
      <c r="Q61" s="30">
        <v>341803</v>
      </c>
      <c r="R61" s="30">
        <v>362134</v>
      </c>
      <c r="S61" s="30">
        <f>SUM(S57:S60)-2</f>
        <v>348203</v>
      </c>
      <c r="T61" s="31">
        <v>346348891</v>
      </c>
      <c r="U61" s="31">
        <v>354772696</v>
      </c>
      <c r="V61" s="31">
        <v>346393276</v>
      </c>
      <c r="W61" s="31">
        <v>361026224.43449998</v>
      </c>
      <c r="X61" s="31">
        <v>348646183.22000003</v>
      </c>
      <c r="Y61" s="31">
        <f>SUM(Y57:Y60)</f>
        <v>336372037.5</v>
      </c>
      <c r="Z61" s="31">
        <v>336918888.20050001</v>
      </c>
    </row>
    <row r="62" spans="3:27" ht="15" customHeight="1" x14ac:dyDescent="0.35"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3:27" ht="15" customHeight="1" x14ac:dyDescent="0.35">
      <c r="C63" s="3" t="s">
        <v>54</v>
      </c>
      <c r="K63" s="19">
        <v>342769</v>
      </c>
      <c r="L63" s="19">
        <v>331358</v>
      </c>
      <c r="M63" s="19">
        <v>331014</v>
      </c>
      <c r="N63" s="19">
        <v>342189</v>
      </c>
      <c r="O63" s="19">
        <v>326165</v>
      </c>
      <c r="P63" s="19">
        <f>314010-1705</f>
        <v>312305</v>
      </c>
      <c r="Q63" s="19">
        <v>321904</v>
      </c>
      <c r="R63" s="19">
        <v>323087</v>
      </c>
      <c r="S63" s="19">
        <f>307109-1705</f>
        <v>305404</v>
      </c>
      <c r="T63" s="20">
        <v>304950995</v>
      </c>
      <c r="U63" s="20">
        <v>315810359</v>
      </c>
      <c r="V63" s="20">
        <v>312599906</v>
      </c>
      <c r="W63" s="20">
        <v>325341161</v>
      </c>
      <c r="X63" s="20">
        <v>313302342.13598198</v>
      </c>
      <c r="Y63" s="20">
        <v>305956714.92320698</v>
      </c>
      <c r="Z63" s="20">
        <v>311175663.47864199</v>
      </c>
    </row>
    <row r="64" spans="3:27" ht="15" customHeight="1" x14ac:dyDescent="0.35">
      <c r="C64" s="3" t="s">
        <v>55</v>
      </c>
      <c r="K64" s="19">
        <v>10530</v>
      </c>
      <c r="L64" s="19">
        <v>9530</v>
      </c>
      <c r="M64" s="19">
        <v>8530</v>
      </c>
      <c r="N64" s="19">
        <v>7530</v>
      </c>
      <c r="O64" s="19">
        <v>6523</v>
      </c>
      <c r="P64" s="19">
        <v>5558</v>
      </c>
      <c r="Q64" s="19">
        <v>4542</v>
      </c>
      <c r="R64" s="19">
        <v>19703</v>
      </c>
      <c r="S64" s="19">
        <v>17874</v>
      </c>
      <c r="T64" s="20">
        <v>14853857</v>
      </c>
      <c r="U64" s="20">
        <v>13220242</v>
      </c>
      <c r="V64" s="20">
        <v>12627907</v>
      </c>
      <c r="W64" s="20">
        <v>10727181</v>
      </c>
      <c r="X64" s="20">
        <v>10692289</v>
      </c>
      <c r="Y64" s="20">
        <v>9551770.0415228494</v>
      </c>
      <c r="Z64" s="20">
        <v>8460033.3984576594</v>
      </c>
    </row>
    <row r="65" spans="3:26" ht="15" customHeight="1" x14ac:dyDescent="0.35">
      <c r="C65" s="10" t="s">
        <v>56</v>
      </c>
      <c r="K65" s="11">
        <v>18056</v>
      </c>
      <c r="L65" s="11">
        <v>16112</v>
      </c>
      <c r="M65" s="11">
        <v>13970</v>
      </c>
      <c r="N65" s="11">
        <v>12409</v>
      </c>
      <c r="O65" s="11">
        <v>17179</v>
      </c>
      <c r="P65" s="11">
        <v>16345</v>
      </c>
      <c r="Q65" s="11">
        <v>15357</v>
      </c>
      <c r="R65" s="11">
        <v>19343</v>
      </c>
      <c r="S65" s="11">
        <v>24926</v>
      </c>
      <c r="T65" s="12">
        <v>26544040</v>
      </c>
      <c r="U65" s="12">
        <v>25742096</v>
      </c>
      <c r="V65" s="12">
        <v>21165462</v>
      </c>
      <c r="W65" s="12">
        <v>24957882.734515999</v>
      </c>
      <c r="X65" s="12">
        <v>24651551.372205999</v>
      </c>
      <c r="Y65" s="12">
        <v>20863552.681798201</v>
      </c>
      <c r="Z65" s="12">
        <v>17283190.944740299</v>
      </c>
    </row>
    <row r="66" spans="3:26" ht="15" customHeight="1" x14ac:dyDescent="0.35">
      <c r="C66" s="29" t="s">
        <v>57</v>
      </c>
      <c r="D66" s="29"/>
      <c r="E66" s="29"/>
      <c r="F66" s="29"/>
      <c r="G66" s="29"/>
      <c r="H66" s="29"/>
      <c r="I66" s="29"/>
      <c r="J66" s="29"/>
      <c r="K66" s="30">
        <v>371355</v>
      </c>
      <c r="L66" s="30">
        <v>357001</v>
      </c>
      <c r="M66" s="30">
        <v>353514</v>
      </c>
      <c r="N66" s="30">
        <v>362128</v>
      </c>
      <c r="O66" s="30">
        <v>349866</v>
      </c>
      <c r="P66" s="30">
        <f>SUM(P63:P65)-1</f>
        <v>334207</v>
      </c>
      <c r="Q66" s="30">
        <v>341803</v>
      </c>
      <c r="R66" s="30">
        <v>362134</v>
      </c>
      <c r="S66" s="30">
        <f>SUM(S63:S65)-1</f>
        <v>348203</v>
      </c>
      <c r="T66" s="31">
        <v>346348892</v>
      </c>
      <c r="U66" s="31">
        <v>354772697</v>
      </c>
      <c r="V66" s="31">
        <v>346393276</v>
      </c>
      <c r="W66" s="31">
        <v>361026224.73451602</v>
      </c>
      <c r="X66" s="31">
        <v>348646182.50818801</v>
      </c>
      <c r="Y66" s="31">
        <f>SUM(Y63:Y65)</f>
        <v>336372037.64652807</v>
      </c>
      <c r="Z66" s="31">
        <v>336918887.82183993</v>
      </c>
    </row>
    <row r="67" spans="3:26" ht="15" customHeight="1" x14ac:dyDescent="0.35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3:26" ht="15" customHeight="1" x14ac:dyDescent="0.35">
      <c r="C68" s="3" t="s">
        <v>58</v>
      </c>
      <c r="K68" s="33">
        <v>0.92</v>
      </c>
      <c r="L68" s="33">
        <v>0.93</v>
      </c>
      <c r="M68" s="33">
        <v>0.94</v>
      </c>
      <c r="N68" s="33">
        <v>0.94</v>
      </c>
      <c r="O68" s="33">
        <v>0.93</v>
      </c>
      <c r="Q68" s="33">
        <v>0.94</v>
      </c>
      <c r="R68" s="33">
        <v>0.89</v>
      </c>
      <c r="S68" s="33">
        <v>0.88</v>
      </c>
      <c r="T68" s="18">
        <v>0.88105900389524305</v>
      </c>
      <c r="U68" s="18">
        <v>0.89070194429466099</v>
      </c>
      <c r="V68" s="18">
        <v>0.90292007628646698</v>
      </c>
      <c r="W68" s="18">
        <v>0.90115659022043804</v>
      </c>
      <c r="X68" s="18">
        <v>0.89862547555841199</v>
      </c>
      <c r="Y68" s="18">
        <v>0.90957832529468496</v>
      </c>
      <c r="Z68" s="18">
        <v>0.92359221783968404</v>
      </c>
    </row>
    <row r="69" spans="3:26" ht="15" customHeight="1" x14ac:dyDescent="0.35">
      <c r="C69" s="3" t="s">
        <v>59</v>
      </c>
      <c r="K69" s="19">
        <f t="shared" ref="K69:V69" si="8">SUM(K59:K60)-K65</f>
        <v>246894</v>
      </c>
      <c r="L69" s="19">
        <f t="shared" si="8"/>
        <v>229282</v>
      </c>
      <c r="M69" s="19">
        <f t="shared" si="8"/>
        <v>225179</v>
      </c>
      <c r="N69" s="19">
        <f t="shared" si="8"/>
        <v>235457</v>
      </c>
      <c r="O69" s="19">
        <f t="shared" si="8"/>
        <v>208440</v>
      </c>
      <c r="P69" s="19">
        <f t="shared" si="8"/>
        <v>187677</v>
      </c>
      <c r="Q69" s="19">
        <f t="shared" si="8"/>
        <v>194610</v>
      </c>
      <c r="R69" s="20">
        <f t="shared" si="8"/>
        <v>186674</v>
      </c>
      <c r="S69" s="20">
        <f t="shared" si="8"/>
        <v>160716</v>
      </c>
      <c r="T69" s="20">
        <f t="shared" si="8"/>
        <v>153780789</v>
      </c>
      <c r="U69" s="20">
        <f t="shared" si="8"/>
        <v>163595634</v>
      </c>
      <c r="V69" s="20">
        <f t="shared" si="8"/>
        <v>156867640</v>
      </c>
      <c r="W69" s="20">
        <v>170493460.26548401</v>
      </c>
      <c r="X69" s="20">
        <v>154524239.627794</v>
      </c>
      <c r="Y69" s="20">
        <f>SUM(Y59:Y60)-Y65</f>
        <v>142900248.31820181</v>
      </c>
      <c r="Z69" s="20">
        <v>149682376.0552597</v>
      </c>
    </row>
    <row r="70" spans="3:26" ht="15" customHeight="1" x14ac:dyDescent="0.35">
      <c r="Z70" s="3"/>
    </row>
    <row r="71" spans="3:26" ht="15" customHeight="1" x14ac:dyDescent="0.35">
      <c r="Z71" s="3"/>
    </row>
    <row r="72" spans="3:26" ht="15" customHeight="1" x14ac:dyDescent="0.35">
      <c r="Z72" s="3"/>
    </row>
    <row r="73" spans="3:26" ht="15" customHeight="1" x14ac:dyDescent="0.35">
      <c r="K73" s="4" t="s">
        <v>3</v>
      </c>
      <c r="L73" s="4" t="s">
        <v>3</v>
      </c>
      <c r="M73" s="4" t="s">
        <v>3</v>
      </c>
      <c r="N73" s="4" t="s">
        <v>3</v>
      </c>
      <c r="O73" s="4" t="s">
        <v>3</v>
      </c>
      <c r="P73" s="4" t="s">
        <v>4</v>
      </c>
      <c r="Q73" s="4" t="s">
        <v>3</v>
      </c>
      <c r="R73" s="4" t="s">
        <v>3</v>
      </c>
      <c r="S73" s="4" t="s">
        <v>3</v>
      </c>
      <c r="T73" s="4" t="s">
        <v>3</v>
      </c>
      <c r="U73" s="4" t="s">
        <v>3</v>
      </c>
      <c r="V73" s="4" t="s">
        <v>3</v>
      </c>
      <c r="W73" s="4" t="s">
        <v>3</v>
      </c>
      <c r="X73" s="4" t="s">
        <v>3</v>
      </c>
      <c r="Y73" s="4" t="s">
        <v>3</v>
      </c>
      <c r="Z73" s="4" t="s">
        <v>3</v>
      </c>
    </row>
    <row r="74" spans="3:26" ht="15.75" customHeight="1" x14ac:dyDescent="0.35">
      <c r="C74" s="27" t="s">
        <v>60</v>
      </c>
      <c r="K74" s="6" t="str">
        <f t="shared" ref="K74:Q74" si="9">K56</f>
        <v>Q4'21</v>
      </c>
      <c r="L74" s="6" t="str">
        <f t="shared" si="9"/>
        <v>Q1'22</v>
      </c>
      <c r="M74" s="6" t="str">
        <f t="shared" si="9"/>
        <v>Q2'22</v>
      </c>
      <c r="N74" s="6" t="str">
        <f t="shared" si="9"/>
        <v>Q3'22</v>
      </c>
      <c r="O74" s="6" t="str">
        <f t="shared" si="9"/>
        <v>Q4'22</v>
      </c>
      <c r="P74" s="6" t="str">
        <f t="shared" si="9"/>
        <v>Q1'23</v>
      </c>
      <c r="Q74" s="6" t="str">
        <f t="shared" si="9"/>
        <v>Q2'23</v>
      </c>
      <c r="R74" s="6" t="s">
        <v>20</v>
      </c>
      <c r="S74" s="6" t="s">
        <v>21</v>
      </c>
      <c r="T74" s="6" t="str">
        <f>T56</f>
        <v>Q1'24</v>
      </c>
      <c r="U74" s="6" t="s">
        <v>23</v>
      </c>
      <c r="V74" s="6" t="s">
        <v>24</v>
      </c>
      <c r="W74" s="6" t="s">
        <v>25</v>
      </c>
      <c r="X74" s="6" t="s">
        <v>26</v>
      </c>
      <c r="Y74" s="6" t="str">
        <f>Y56</f>
        <v>Q2'25</v>
      </c>
      <c r="Z74" s="6" t="s">
        <v>28</v>
      </c>
    </row>
    <row r="75" spans="3:26" ht="15" customHeight="1" x14ac:dyDescent="0.35">
      <c r="C75" s="34" t="s">
        <v>61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3:26" ht="15" customHeight="1" x14ac:dyDescent="0.35">
      <c r="C76" s="3" t="s">
        <v>62</v>
      </c>
      <c r="K76" s="19">
        <v>6806</v>
      </c>
      <c r="L76" s="19">
        <v>-17469</v>
      </c>
      <c r="M76" s="19">
        <v>-7224</v>
      </c>
      <c r="N76" s="19">
        <v>8422</v>
      </c>
      <c r="O76" s="19">
        <v>-23030</v>
      </c>
      <c r="P76" s="19">
        <f>-18434-145.476</f>
        <v>-18579.475999999999</v>
      </c>
      <c r="Q76" s="19">
        <v>6012</v>
      </c>
      <c r="R76" s="19">
        <v>-8618</v>
      </c>
      <c r="S76" s="20">
        <v>-25817104</v>
      </c>
      <c r="T76" s="20">
        <v>-3159552</v>
      </c>
      <c r="U76" s="20">
        <v>6198984</v>
      </c>
      <c r="V76" s="20">
        <v>-5369496</v>
      </c>
      <c r="W76" s="20">
        <v>19376986</v>
      </c>
      <c r="X76" s="20">
        <v>-14366892</v>
      </c>
      <c r="Y76" s="20">
        <v>-10077529</v>
      </c>
      <c r="Z76" s="20">
        <v>5512146</v>
      </c>
    </row>
    <row r="77" spans="3:26" ht="15" customHeight="1" x14ac:dyDescent="0.35">
      <c r="C77" s="35" t="s">
        <v>63</v>
      </c>
      <c r="Z77" s="3"/>
    </row>
    <row r="78" spans="3:26" ht="15" customHeight="1" x14ac:dyDescent="0.35">
      <c r="C78" s="3" t="s">
        <v>64</v>
      </c>
      <c r="K78" s="19">
        <v>-24</v>
      </c>
      <c r="L78" s="19">
        <v>-2</v>
      </c>
      <c r="M78" s="19">
        <v>747</v>
      </c>
      <c r="N78" s="19">
        <v>0</v>
      </c>
      <c r="O78" s="19">
        <v>0</v>
      </c>
      <c r="P78" s="19">
        <v>0</v>
      </c>
      <c r="Q78" s="19">
        <v>0</v>
      </c>
      <c r="R78" s="19">
        <v>8</v>
      </c>
      <c r="S78" s="20">
        <v>76.8934620469809</v>
      </c>
      <c r="T78" s="20">
        <v>0</v>
      </c>
      <c r="U78" s="20">
        <v>0</v>
      </c>
      <c r="V78" s="20">
        <v>-6074.8912349939301</v>
      </c>
      <c r="W78" s="20">
        <v>-1754669.41346</v>
      </c>
      <c r="X78" s="20">
        <v>-845373.77</v>
      </c>
      <c r="Y78" s="20">
        <v>-782626.12027842703</v>
      </c>
      <c r="Z78" s="20">
        <v>-800725.32144499896</v>
      </c>
    </row>
    <row r="79" spans="3:26" ht="15" customHeight="1" x14ac:dyDescent="0.35">
      <c r="C79" s="3" t="s">
        <v>65</v>
      </c>
      <c r="K79" s="19">
        <v>2095</v>
      </c>
      <c r="L79" s="19">
        <v>2868</v>
      </c>
      <c r="M79" s="19">
        <v>2562</v>
      </c>
      <c r="N79" s="19">
        <v>2728</v>
      </c>
      <c r="O79" s="19">
        <v>3160</v>
      </c>
      <c r="P79" s="19">
        <v>3718</v>
      </c>
      <c r="Q79" s="19">
        <v>3747</v>
      </c>
      <c r="R79" s="19">
        <v>4457</v>
      </c>
      <c r="S79" s="20">
        <v>4301500.99</v>
      </c>
      <c r="T79" s="20">
        <v>4959907.91</v>
      </c>
      <c r="U79" s="20">
        <v>4986484.21</v>
      </c>
      <c r="V79" s="20">
        <v>5056958.8899999997</v>
      </c>
      <c r="W79" s="20">
        <v>5404812.5434999997</v>
      </c>
      <c r="X79" s="20">
        <v>5264177.6100000003</v>
      </c>
      <c r="Y79" s="20">
        <v>6140749.7300000004</v>
      </c>
      <c r="Z79" s="20">
        <v>6492764.2295000004</v>
      </c>
    </row>
    <row r="80" spans="3:26" ht="15" customHeight="1" x14ac:dyDescent="0.35">
      <c r="C80" s="3" t="s">
        <v>66</v>
      </c>
      <c r="K80" s="19">
        <v>7157</v>
      </c>
      <c r="L80" s="19">
        <v>2914</v>
      </c>
      <c r="M80" s="19">
        <v>3586</v>
      </c>
      <c r="N80" s="19">
        <v>3031</v>
      </c>
      <c r="O80" s="19">
        <v>2932</v>
      </c>
      <c r="P80" s="19">
        <v>2988</v>
      </c>
      <c r="Q80" s="19">
        <v>3756</v>
      </c>
      <c r="R80" s="19">
        <v>1669</v>
      </c>
      <c r="S80" s="20">
        <v>1428426.39</v>
      </c>
      <c r="T80" s="20">
        <v>1808369.29</v>
      </c>
      <c r="U80" s="20">
        <v>1360485.36</v>
      </c>
      <c r="V80" s="20">
        <v>1002253.77</v>
      </c>
      <c r="W80" s="20">
        <v>1303986.78</v>
      </c>
      <c r="X80" s="20">
        <v>489231.46</v>
      </c>
      <c r="Y80" s="20">
        <v>1068582.2</v>
      </c>
      <c r="Z80" s="20">
        <v>1426110.94</v>
      </c>
    </row>
    <row r="81" spans="3:26" ht="15" customHeight="1" x14ac:dyDescent="0.35">
      <c r="C81" s="3" t="s">
        <v>67</v>
      </c>
      <c r="S81" s="20">
        <v>-3368747</v>
      </c>
      <c r="T81" s="20">
        <v>-5217685.3095100001</v>
      </c>
      <c r="U81" s="20">
        <v>97382.469930001505</v>
      </c>
      <c r="V81" s="20">
        <v>651731.48179399897</v>
      </c>
      <c r="W81" s="20">
        <v>-495257.94355099899</v>
      </c>
      <c r="X81" s="20">
        <v>2336516.85</v>
      </c>
      <c r="Y81" s="20">
        <v>1063040.3999999999</v>
      </c>
      <c r="Z81" s="20">
        <v>903850.13</v>
      </c>
    </row>
    <row r="82" spans="3:26" ht="15" customHeight="1" x14ac:dyDescent="0.35">
      <c r="C82" s="3" t="s">
        <v>68</v>
      </c>
      <c r="X82" s="20">
        <v>1360557.3</v>
      </c>
      <c r="Y82" s="20">
        <v>1361889.3202104301</v>
      </c>
      <c r="Z82" s="20">
        <v>1621781.1277030001</v>
      </c>
    </row>
    <row r="83" spans="3:26" ht="15" customHeight="1" x14ac:dyDescent="0.35">
      <c r="C83" s="3" t="s">
        <v>69</v>
      </c>
      <c r="K83" s="19">
        <v>148</v>
      </c>
      <c r="L83" s="19">
        <v>140</v>
      </c>
      <c r="M83" s="19">
        <v>140</v>
      </c>
      <c r="N83" s="19">
        <v>137</v>
      </c>
      <c r="O83" s="19">
        <v>153</v>
      </c>
      <c r="P83" s="19">
        <f>166+145.476</f>
        <v>311.476</v>
      </c>
      <c r="Q83" s="19">
        <v>147</v>
      </c>
      <c r="R83" s="19">
        <v>141</v>
      </c>
      <c r="S83" s="20">
        <v>-1484449</v>
      </c>
      <c r="T83" s="20">
        <v>566315.21121146495</v>
      </c>
      <c r="U83" s="20">
        <v>499469.89999999502</v>
      </c>
      <c r="V83" s="20">
        <v>1887443.4139407401</v>
      </c>
      <c r="W83" s="20">
        <v>-2382042.5351522001</v>
      </c>
      <c r="X83" s="20">
        <v>0</v>
      </c>
      <c r="Y83" s="20">
        <v>0</v>
      </c>
      <c r="Z83" s="20">
        <v>0</v>
      </c>
    </row>
    <row r="84" spans="3:26" ht="15" customHeight="1" x14ac:dyDescent="0.35">
      <c r="C84" s="3" t="s">
        <v>70</v>
      </c>
      <c r="K84" s="19">
        <v>-16409</v>
      </c>
      <c r="L84" s="19">
        <v>12427</v>
      </c>
      <c r="M84" s="19">
        <v>1780</v>
      </c>
      <c r="N84" s="19">
        <v>-26265</v>
      </c>
      <c r="O84" s="19">
        <v>588</v>
      </c>
      <c r="P84" s="19">
        <v>-708</v>
      </c>
      <c r="Q84" s="19">
        <v>-24122</v>
      </c>
      <c r="R84" s="19">
        <v>-11406</v>
      </c>
      <c r="S84" s="20">
        <v>16117990.949999999</v>
      </c>
      <c r="T84" s="20">
        <v>-8655374.1100000106</v>
      </c>
      <c r="U84" s="20">
        <v>-9927974.1699999906</v>
      </c>
      <c r="V84" s="20">
        <v>-17696280.82</v>
      </c>
      <c r="W84" s="20">
        <v>-14044086.699999999</v>
      </c>
      <c r="X84" s="20">
        <v>18520365.850000001</v>
      </c>
      <c r="Y84" s="20">
        <v>-1282039.03999999</v>
      </c>
      <c r="Z84" s="20">
        <v>-10653832.9019245</v>
      </c>
    </row>
    <row r="85" spans="3:26" ht="15" customHeight="1" x14ac:dyDescent="0.35">
      <c r="C85" s="3" t="s">
        <v>71</v>
      </c>
      <c r="K85" s="19">
        <v>1259</v>
      </c>
      <c r="L85" s="19">
        <v>179</v>
      </c>
      <c r="M85" s="19">
        <v>-748</v>
      </c>
      <c r="N85" s="19">
        <v>-1293</v>
      </c>
      <c r="O85" s="19">
        <v>501</v>
      </c>
      <c r="P85" s="19">
        <v>-645</v>
      </c>
      <c r="Q85" s="19">
        <v>594</v>
      </c>
      <c r="R85" s="19">
        <v>2065</v>
      </c>
      <c r="S85" s="20">
        <v>172707.56</v>
      </c>
      <c r="T85" s="20">
        <v>-74566.529999999795</v>
      </c>
      <c r="U85" s="20">
        <v>2581412.64</v>
      </c>
      <c r="V85" s="20">
        <v>-2923901.5</v>
      </c>
      <c r="W85" s="20">
        <v>-2137430.79</v>
      </c>
      <c r="X85" s="20">
        <v>2126694.0499999998</v>
      </c>
      <c r="Y85" s="20">
        <v>2242633.77</v>
      </c>
      <c r="Z85" s="20">
        <v>-3497601.41</v>
      </c>
    </row>
    <row r="86" spans="3:26" ht="15" customHeight="1" x14ac:dyDescent="0.35">
      <c r="C86" s="10" t="s">
        <v>72</v>
      </c>
      <c r="K86" s="11">
        <v>10264</v>
      </c>
      <c r="L86" s="11">
        <v>7395</v>
      </c>
      <c r="M86" s="11">
        <v>-1266</v>
      </c>
      <c r="N86" s="11">
        <v>3966</v>
      </c>
      <c r="O86" s="11">
        <v>4181</v>
      </c>
      <c r="P86" s="11">
        <v>-3715</v>
      </c>
      <c r="Q86" s="11">
        <v>-2158</v>
      </c>
      <c r="R86" s="11">
        <v>22</v>
      </c>
      <c r="S86" s="12">
        <v>3454215.38772</v>
      </c>
      <c r="T86" s="12">
        <v>1451096.0207819999</v>
      </c>
      <c r="U86" s="12">
        <v>-3867119.0622020001</v>
      </c>
      <c r="V86" s="12">
        <v>-1674007.4157420001</v>
      </c>
      <c r="W86" s="12">
        <v>8376502.447044</v>
      </c>
      <c r="X86" s="12">
        <v>-2816035.847205</v>
      </c>
      <c r="Y86" s="12">
        <v>-9017104.3324930109</v>
      </c>
      <c r="Z86" s="12">
        <v>5523182.7329770001</v>
      </c>
    </row>
    <row r="87" spans="3:26" ht="15" customHeight="1" x14ac:dyDescent="0.35">
      <c r="C87" s="13" t="s">
        <v>73</v>
      </c>
      <c r="D87" s="13"/>
      <c r="E87" s="13"/>
      <c r="F87" s="13"/>
      <c r="G87" s="13"/>
      <c r="H87" s="13"/>
      <c r="I87" s="13"/>
      <c r="J87" s="13"/>
      <c r="K87" s="14">
        <v>11297</v>
      </c>
      <c r="L87" s="14">
        <v>8452</v>
      </c>
      <c r="M87" s="14">
        <v>-423</v>
      </c>
      <c r="N87" s="14">
        <v>-9273</v>
      </c>
      <c r="O87" s="14">
        <v>-11514</v>
      </c>
      <c r="P87" s="14">
        <v>-16630</v>
      </c>
      <c r="Q87" s="14">
        <v>-12023</v>
      </c>
      <c r="R87" s="14">
        <v>-11661</v>
      </c>
      <c r="S87" s="15">
        <f>SUM(S76:S86)</f>
        <v>-5195381.8288179506</v>
      </c>
      <c r="T87" s="15">
        <f>SUM(T76:T86)</f>
        <v>-8321489.517516546</v>
      </c>
      <c r="U87" s="15">
        <v>1929125.34772801</v>
      </c>
      <c r="V87" s="15">
        <v>-19071373.071242299</v>
      </c>
      <c r="W87" s="15">
        <v>13648800.388380799</v>
      </c>
      <c r="X87" s="15">
        <v>12069241.502795</v>
      </c>
      <c r="Y87" s="15">
        <f>SUM(Y76:Y86)</f>
        <v>-9282403.0725609977</v>
      </c>
      <c r="Z87" s="15">
        <v>6527675.5268104998</v>
      </c>
    </row>
    <row r="88" spans="3:26" ht="15" customHeight="1" x14ac:dyDescent="0.35">
      <c r="Z88" s="3"/>
    </row>
    <row r="89" spans="3:26" ht="15" customHeight="1" x14ac:dyDescent="0.35">
      <c r="C89" s="2" t="s">
        <v>74</v>
      </c>
      <c r="Z89" s="3"/>
    </row>
    <row r="90" spans="3:26" ht="14.1" customHeight="1" x14ac:dyDescent="0.35">
      <c r="C90" s="3" t="s">
        <v>75</v>
      </c>
      <c r="Q90" s="20">
        <v>-443378</v>
      </c>
      <c r="S90" s="20">
        <v>-70849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-30944</v>
      </c>
      <c r="Z90" s="20">
        <v>0</v>
      </c>
    </row>
    <row r="91" spans="3:26" ht="14.1" customHeight="1" x14ac:dyDescent="0.35">
      <c r="C91" s="3" t="s">
        <v>76</v>
      </c>
      <c r="P91" s="19">
        <v>-6092</v>
      </c>
      <c r="Q91" s="20">
        <v>-6193544</v>
      </c>
      <c r="R91" s="19">
        <v>-6343</v>
      </c>
      <c r="S91" s="20">
        <v>-6470272</v>
      </c>
      <c r="T91" s="20">
        <v>-7257446</v>
      </c>
      <c r="U91" s="20">
        <v>-8020065</v>
      </c>
      <c r="V91" s="20">
        <v>-8519490</v>
      </c>
      <c r="W91" s="20">
        <v>-6918838</v>
      </c>
      <c r="X91" s="20">
        <v>-7366683</v>
      </c>
      <c r="Y91" s="20">
        <v>-7556152</v>
      </c>
      <c r="Z91" s="20">
        <v>-7036063</v>
      </c>
    </row>
    <row r="92" spans="3:26" ht="14.1" customHeight="1" x14ac:dyDescent="0.35">
      <c r="C92" s="3" t="s">
        <v>77</v>
      </c>
      <c r="K92" s="19">
        <v>-9200</v>
      </c>
      <c r="L92" s="19">
        <v>-5577</v>
      </c>
      <c r="M92" s="19">
        <v>-4929</v>
      </c>
      <c r="N92" s="19">
        <v>-5444</v>
      </c>
      <c r="O92" s="19">
        <v>-7378</v>
      </c>
      <c r="S92" s="20">
        <v>4641598</v>
      </c>
      <c r="T92" s="20">
        <v>890736</v>
      </c>
      <c r="U92" s="20">
        <v>1556810</v>
      </c>
      <c r="V92" s="20">
        <v>764381</v>
      </c>
      <c r="W92" s="20">
        <v>1154953</v>
      </c>
      <c r="X92" s="20">
        <v>552056</v>
      </c>
      <c r="Y92" s="20">
        <v>543266</v>
      </c>
      <c r="Z92" s="20">
        <v>517904</v>
      </c>
    </row>
    <row r="93" spans="3:26" ht="15" customHeight="1" x14ac:dyDescent="0.35">
      <c r="C93" s="3" t="s">
        <v>78</v>
      </c>
      <c r="X93" s="20">
        <v>299530</v>
      </c>
      <c r="Y93" s="20">
        <v>23273</v>
      </c>
      <c r="Z93" s="20">
        <v>0</v>
      </c>
    </row>
    <row r="94" spans="3:26" ht="15" customHeight="1" x14ac:dyDescent="0.35">
      <c r="C94" s="10" t="s">
        <v>79</v>
      </c>
      <c r="X94" s="12">
        <v>-81411</v>
      </c>
      <c r="Y94" s="12">
        <v>0</v>
      </c>
      <c r="Z94" s="12">
        <v>0</v>
      </c>
    </row>
    <row r="95" spans="3:26" ht="15" customHeight="1" x14ac:dyDescent="0.35">
      <c r="C95" s="13" t="s">
        <v>80</v>
      </c>
      <c r="D95" s="13"/>
      <c r="E95" s="13"/>
      <c r="F95" s="13"/>
      <c r="G95" s="13"/>
      <c r="H95" s="13"/>
      <c r="I95" s="13"/>
      <c r="J95" s="13"/>
      <c r="K95" s="14">
        <v>-9200</v>
      </c>
      <c r="L95" s="14">
        <v>-5577</v>
      </c>
      <c r="M95" s="14">
        <v>-4929</v>
      </c>
      <c r="N95" s="14">
        <v>-5444</v>
      </c>
      <c r="O95" s="14">
        <v>-7378</v>
      </c>
      <c r="P95" s="14">
        <v>-6092</v>
      </c>
      <c r="Q95" s="15">
        <f>SUM(Q90:Q92)</f>
        <v>-6636922</v>
      </c>
      <c r="R95" s="14">
        <v>-6343</v>
      </c>
      <c r="S95" s="15">
        <f>SUM(S90:S92)</f>
        <v>-1899523</v>
      </c>
      <c r="T95" s="15">
        <f>SUM(T90:T92)</f>
        <v>-6366710</v>
      </c>
      <c r="U95" s="15">
        <v>-6463255</v>
      </c>
      <c r="V95" s="15">
        <v>-7755109</v>
      </c>
      <c r="W95" s="15">
        <v>-5763885</v>
      </c>
      <c r="X95" s="15">
        <v>-6596508</v>
      </c>
      <c r="Y95" s="15">
        <f>SUM(Y90:Y94)</f>
        <v>-7020557</v>
      </c>
      <c r="Z95" s="15">
        <v>-6518159</v>
      </c>
    </row>
    <row r="96" spans="3:26" ht="15" customHeight="1" x14ac:dyDescent="0.35">
      <c r="Z96" s="3"/>
    </row>
    <row r="97" spans="3:26" ht="15" customHeight="1" x14ac:dyDescent="0.35">
      <c r="C97" s="2" t="s">
        <v>81</v>
      </c>
      <c r="Z97" s="3"/>
    </row>
    <row r="98" spans="3:26" ht="15" customHeight="1" x14ac:dyDescent="0.35">
      <c r="C98" s="3" t="s">
        <v>82</v>
      </c>
      <c r="K98" s="19">
        <v>-558</v>
      </c>
      <c r="L98" s="19">
        <v>-558</v>
      </c>
      <c r="M98" s="19">
        <v>-558</v>
      </c>
      <c r="N98" s="19">
        <v>-558</v>
      </c>
      <c r="O98" s="19">
        <v>-988</v>
      </c>
      <c r="P98" s="19">
        <v>-677</v>
      </c>
      <c r="Q98" s="19">
        <v>-686</v>
      </c>
      <c r="R98" s="19">
        <v>-1371</v>
      </c>
      <c r="S98" s="20">
        <v>-2273589</v>
      </c>
      <c r="T98" s="20">
        <v>-1456321.57</v>
      </c>
      <c r="U98" s="20">
        <v>-1511973.3</v>
      </c>
      <c r="V98" s="20">
        <v>-1567323.13</v>
      </c>
      <c r="W98" s="20">
        <v>-1602348.13</v>
      </c>
      <c r="X98" s="20">
        <v>-1857575.17</v>
      </c>
      <c r="Y98" s="20">
        <v>-1685813.96</v>
      </c>
      <c r="Z98" s="20">
        <v>-1674143.54</v>
      </c>
    </row>
    <row r="99" spans="3:26" ht="15" customHeight="1" x14ac:dyDescent="0.35">
      <c r="C99" s="3" t="s">
        <v>83</v>
      </c>
      <c r="K99" s="19">
        <v>-2000</v>
      </c>
      <c r="L99" s="19">
        <v>-1000</v>
      </c>
      <c r="M99" s="19">
        <v>-1000</v>
      </c>
      <c r="N99" s="19">
        <v>-1000</v>
      </c>
      <c r="O99" s="19">
        <v>-1000</v>
      </c>
      <c r="P99" s="19">
        <v>-1000</v>
      </c>
      <c r="Q99" s="19">
        <v>-1000</v>
      </c>
      <c r="R99" s="19">
        <v>-1000</v>
      </c>
      <c r="S99" s="20">
        <v>-1000000</v>
      </c>
      <c r="T99" s="20">
        <v>-1000000</v>
      </c>
      <c r="U99" s="20">
        <v>-1000000</v>
      </c>
      <c r="V99" s="20">
        <v>-1000000</v>
      </c>
      <c r="W99" s="20">
        <v>-1000000</v>
      </c>
      <c r="X99" s="20">
        <v>-1000000</v>
      </c>
      <c r="Y99" s="20">
        <v>-1000000</v>
      </c>
      <c r="Z99" s="20">
        <v>0</v>
      </c>
    </row>
    <row r="100" spans="3:26" ht="15" customHeight="1" x14ac:dyDescent="0.35">
      <c r="C100" s="3" t="s">
        <v>84</v>
      </c>
      <c r="K100" s="19">
        <v>10060</v>
      </c>
      <c r="L100" s="19">
        <v>0</v>
      </c>
      <c r="M100" s="19">
        <v>2622</v>
      </c>
      <c r="N100" s="19">
        <v>350</v>
      </c>
      <c r="O100" s="19">
        <v>0</v>
      </c>
      <c r="P100" s="19">
        <v>0</v>
      </c>
      <c r="Q100" s="19">
        <v>0</v>
      </c>
      <c r="R100" s="19">
        <v>6514</v>
      </c>
      <c r="S100" s="20">
        <v>2981412</v>
      </c>
      <c r="T100" s="20">
        <v>0</v>
      </c>
      <c r="U100" s="20">
        <v>4835225</v>
      </c>
      <c r="V100" s="20">
        <v>0</v>
      </c>
      <c r="W100" s="20">
        <v>0</v>
      </c>
      <c r="X100" s="20">
        <v>0</v>
      </c>
      <c r="Y100" s="20">
        <v>123190.17</v>
      </c>
      <c r="Z100" s="20">
        <v>0</v>
      </c>
    </row>
    <row r="101" spans="3:26" ht="15" customHeight="1" x14ac:dyDescent="0.35">
      <c r="C101" s="3" t="s">
        <v>85</v>
      </c>
      <c r="K101" s="19">
        <v>-148</v>
      </c>
      <c r="L101" s="19">
        <v>-140</v>
      </c>
      <c r="M101" s="19">
        <v>-140</v>
      </c>
      <c r="N101" s="19">
        <v>-137</v>
      </c>
      <c r="O101" s="19">
        <v>-153</v>
      </c>
      <c r="P101" s="19">
        <v>-166</v>
      </c>
      <c r="Q101" s="19">
        <v>-147</v>
      </c>
      <c r="R101" s="19">
        <v>-141</v>
      </c>
      <c r="S101" s="20">
        <v>-134944</v>
      </c>
      <c r="T101" s="20">
        <v>-120833.33</v>
      </c>
      <c r="U101" s="20">
        <v>-102500</v>
      </c>
      <c r="V101" s="20">
        <v>-82000</v>
      </c>
      <c r="W101" s="20">
        <v>-70611.11</v>
      </c>
      <c r="X101" s="20">
        <v>-31888.89</v>
      </c>
      <c r="Y101" s="20">
        <v>-20500</v>
      </c>
      <c r="Z101" s="20">
        <v>0</v>
      </c>
    </row>
    <row r="102" spans="3:26" ht="15" customHeight="1" x14ac:dyDescent="0.35">
      <c r="C102" s="3" t="s">
        <v>86</v>
      </c>
      <c r="S102" s="20">
        <v>-1356137</v>
      </c>
      <c r="T102" s="20">
        <v>-443220</v>
      </c>
      <c r="U102" s="20">
        <v>-448763</v>
      </c>
      <c r="V102" s="20">
        <v>-455906</v>
      </c>
      <c r="W102" s="20">
        <v>-117848</v>
      </c>
      <c r="X102" s="20">
        <v>-471615</v>
      </c>
      <c r="Y102" s="20">
        <v>-398408</v>
      </c>
      <c r="Z102" s="20">
        <v>-378480</v>
      </c>
    </row>
    <row r="103" spans="3:26" ht="15" customHeight="1" x14ac:dyDescent="0.35">
      <c r="C103" s="3" t="s">
        <v>87</v>
      </c>
      <c r="K103" s="19">
        <v>-12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</row>
    <row r="104" spans="3:26" ht="15" customHeight="1" x14ac:dyDescent="0.35">
      <c r="C104" s="10" t="s">
        <v>88</v>
      </c>
      <c r="S104" s="12">
        <v>3662889</v>
      </c>
      <c r="T104" s="12">
        <v>0</v>
      </c>
      <c r="U104" s="12">
        <v>0</v>
      </c>
      <c r="V104" s="12">
        <v>0</v>
      </c>
      <c r="W104" s="12">
        <v>3011189.73</v>
      </c>
      <c r="X104" s="12">
        <v>0</v>
      </c>
      <c r="Y104" s="12">
        <v>0</v>
      </c>
      <c r="Z104" s="12">
        <v>0</v>
      </c>
    </row>
    <row r="105" spans="3:26" ht="15" customHeight="1" x14ac:dyDescent="0.35">
      <c r="C105" s="13" t="s">
        <v>89</v>
      </c>
      <c r="D105" s="13"/>
      <c r="E105" s="13"/>
      <c r="F105" s="13"/>
      <c r="G105" s="13"/>
      <c r="H105" s="13"/>
      <c r="I105" s="13"/>
      <c r="J105" s="13"/>
      <c r="K105" s="14">
        <v>7342</v>
      </c>
      <c r="L105" s="14">
        <v>-1698</v>
      </c>
      <c r="M105" s="14">
        <v>924</v>
      </c>
      <c r="N105" s="14">
        <v>-1345</v>
      </c>
      <c r="O105" s="14">
        <v>-2141</v>
      </c>
      <c r="P105" s="14">
        <v>-1843</v>
      </c>
      <c r="Q105" s="14">
        <v>-1832</v>
      </c>
      <c r="R105" s="14">
        <v>4002</v>
      </c>
      <c r="S105" s="15">
        <f>SUM(S98:S104)</f>
        <v>1879631</v>
      </c>
      <c r="T105" s="15">
        <f>SUM(T98:T104)</f>
        <v>-3020374.9000000004</v>
      </c>
      <c r="U105" s="15">
        <v>1771988.7</v>
      </c>
      <c r="V105" s="15">
        <v>-3105229.13</v>
      </c>
      <c r="W105" s="15">
        <v>220382.49</v>
      </c>
      <c r="X105" s="15">
        <v>-3361079.06</v>
      </c>
      <c r="Y105" s="15">
        <f>SUM(Y98:Y104)</f>
        <v>-2981531.79</v>
      </c>
      <c r="Z105" s="15">
        <v>-2052623.54</v>
      </c>
    </row>
    <row r="106" spans="3:26" ht="15" customHeight="1" x14ac:dyDescent="0.35">
      <c r="Z106" s="3"/>
    </row>
    <row r="107" spans="3:26" ht="15" customHeight="1" x14ac:dyDescent="0.35">
      <c r="C107" s="2" t="s">
        <v>90</v>
      </c>
      <c r="K107" s="23">
        <v>9439</v>
      </c>
      <c r="L107" s="23">
        <v>1177</v>
      </c>
      <c r="M107" s="23">
        <v>-4429</v>
      </c>
      <c r="N107" s="23">
        <v>-16062</v>
      </c>
      <c r="O107" s="23">
        <v>-21033</v>
      </c>
      <c r="P107" s="23">
        <v>-24565</v>
      </c>
      <c r="Q107" s="23">
        <v>-20492</v>
      </c>
      <c r="R107" s="23">
        <v>-14002</v>
      </c>
      <c r="S107" s="24">
        <v>-5215275</v>
      </c>
      <c r="T107" s="24">
        <v>-17708575</v>
      </c>
      <c r="U107" s="24">
        <v>-2762141</v>
      </c>
      <c r="V107" s="24">
        <v>-29931711</v>
      </c>
      <c r="W107" s="24">
        <v>8105297</v>
      </c>
      <c r="X107" s="24">
        <v>2111655</v>
      </c>
      <c r="Y107" s="24">
        <v>-19284492</v>
      </c>
      <c r="Z107" s="24">
        <v>-2043107</v>
      </c>
    </row>
    <row r="108" spans="3:26" ht="15" customHeight="1" x14ac:dyDescent="0.35">
      <c r="C108" s="3" t="s">
        <v>91</v>
      </c>
      <c r="K108" s="19">
        <v>208705</v>
      </c>
      <c r="L108" s="19">
        <v>218151</v>
      </c>
      <c r="M108" s="19">
        <v>219296</v>
      </c>
      <c r="N108" s="19">
        <v>215357</v>
      </c>
      <c r="O108" s="19">
        <v>199651</v>
      </c>
      <c r="P108" s="19">
        <v>178219</v>
      </c>
      <c r="Q108" s="19">
        <v>153951</v>
      </c>
      <c r="R108" s="19">
        <v>133600</v>
      </c>
      <c r="S108" s="20">
        <v>119526707</v>
      </c>
      <c r="T108" s="20">
        <v>115582040.370804</v>
      </c>
      <c r="U108" s="20">
        <v>99925930.311375499</v>
      </c>
      <c r="V108" s="20">
        <v>96894641.1663156</v>
      </c>
      <c r="W108" s="20">
        <v>67119209.971754298</v>
      </c>
      <c r="X108" s="20">
        <v>76390244.466593996</v>
      </c>
      <c r="Y108" s="20">
        <v>76781027.539438903</v>
      </c>
      <c r="Z108" s="20">
        <v>56954589.787612803</v>
      </c>
    </row>
    <row r="109" spans="3:26" ht="15" customHeight="1" x14ac:dyDescent="0.35">
      <c r="C109" s="3" t="s">
        <v>92</v>
      </c>
      <c r="K109" s="19">
        <v>7</v>
      </c>
      <c r="L109" s="19">
        <v>-32</v>
      </c>
      <c r="M109" s="19">
        <v>490</v>
      </c>
      <c r="N109" s="19">
        <v>357</v>
      </c>
      <c r="O109" s="19">
        <v>-399</v>
      </c>
      <c r="P109" s="19">
        <v>297</v>
      </c>
      <c r="Q109" s="19">
        <v>141</v>
      </c>
      <c r="R109" s="19">
        <v>-71</v>
      </c>
      <c r="S109" s="20">
        <v>1270608</v>
      </c>
      <c r="T109" s="20">
        <v>2052463.522969997</v>
      </c>
      <c r="U109" s="20">
        <v>-269146.5128099132</v>
      </c>
      <c r="V109" s="20">
        <v>156278.97757995839</v>
      </c>
      <c r="W109" s="20">
        <v>1165735.573360052</v>
      </c>
      <c r="X109" s="20">
        <v>-1720871.02600507</v>
      </c>
      <c r="Y109" s="20">
        <v>-541945.88695208996</v>
      </c>
      <c r="Z109" s="20">
        <v>-105246.631099937</v>
      </c>
    </row>
    <row r="110" spans="3:26" ht="15" hidden="1" customHeight="1" x14ac:dyDescent="0.35">
      <c r="C110" s="10" t="s">
        <v>93</v>
      </c>
      <c r="Z110" s="10"/>
    </row>
    <row r="111" spans="3:26" ht="15" customHeight="1" x14ac:dyDescent="0.35">
      <c r="C111" s="13" t="s">
        <v>94</v>
      </c>
      <c r="D111" s="13"/>
      <c r="E111" s="13"/>
      <c r="F111" s="13"/>
      <c r="G111" s="13"/>
      <c r="H111" s="13"/>
      <c r="I111" s="13"/>
      <c r="J111" s="13"/>
      <c r="K111" s="14">
        <v>218151</v>
      </c>
      <c r="L111" s="14">
        <v>219296</v>
      </c>
      <c r="M111" s="14">
        <v>215357</v>
      </c>
      <c r="N111" s="14">
        <v>199651</v>
      </c>
      <c r="O111" s="14">
        <v>178219</v>
      </c>
      <c r="P111" s="14">
        <v>153951</v>
      </c>
      <c r="Q111" s="14">
        <v>133600</v>
      </c>
      <c r="R111" s="14">
        <v>119527</v>
      </c>
      <c r="S111" s="14">
        <v>115582</v>
      </c>
      <c r="T111" s="15">
        <f>SUM(T107:T110)</f>
        <v>99925928.893773988</v>
      </c>
      <c r="U111" s="15">
        <v>96894642.798565596</v>
      </c>
      <c r="V111" s="15">
        <v>67119209.143895596</v>
      </c>
      <c r="W111" s="15">
        <v>76390242.545114398</v>
      </c>
      <c r="X111" s="15">
        <v>76781028.440588906</v>
      </c>
      <c r="Y111" s="15">
        <f>SUM(Y107:Y110)</f>
        <v>56954589.652486816</v>
      </c>
      <c r="Z111" s="15">
        <v>54806236.156512864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0F5C0AB903045803D1A3285C84E6E" ma:contentTypeVersion="18" ma:contentTypeDescription="Create a new document." ma:contentTypeScope="" ma:versionID="f8722d603e7986749b60da1e469c53b1">
  <xsd:schema xmlns:xsd="http://www.w3.org/2001/XMLSchema" xmlns:xs="http://www.w3.org/2001/XMLSchema" xmlns:p="http://schemas.microsoft.com/office/2006/metadata/properties" xmlns:ns2="937ab935-90bc-4874-aefa-b983590e4539" xmlns:ns3="108a91c7-ccc4-4216-aafe-698cd1926663" targetNamespace="http://schemas.microsoft.com/office/2006/metadata/properties" ma:root="true" ma:fieldsID="979e66b56c5b26bcf197f93cfa815080" ns2:_="" ns3:_="">
    <xsd:import namespace="937ab935-90bc-4874-aefa-b983590e4539"/>
    <xsd:import namespace="108a91c7-ccc4-4216-aafe-698cd19266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ab935-90bc-4874-aefa-b983590e4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885b68-454c-4c8e-8964-4c6053e4c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a91c7-ccc4-4216-aafe-698cd192666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713b8f6-b018-4787-8444-54e32ee14991}" ma:internalName="TaxCatchAll" ma:showField="CatchAllData" ma:web="108a91c7-ccc4-4216-aafe-698cd1926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8a91c7-ccc4-4216-aafe-698cd1926663" xsi:nil="true"/>
    <lcf76f155ced4ddcb4097134ff3c332f xmlns="937ab935-90bc-4874-aefa-b983590e45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2C8494-1B0D-4BE6-8E3C-37153E0E6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ab935-90bc-4874-aefa-b983590e4539"/>
    <ds:schemaRef ds:uri="108a91c7-ccc4-4216-aafe-698cd1926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C8BEF8-C840-4E92-8AF3-31D859F15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77FCC-4C0C-45FC-836C-7EEA3DF83CF5}">
  <ds:schemaRefs>
    <ds:schemaRef ds:uri="http://schemas.microsoft.com/office/2006/metadata/properties"/>
    <ds:schemaRef ds:uri="http://schemas.microsoft.com/office/infopath/2007/PartnerControls"/>
    <ds:schemaRef ds:uri="108a91c7-ccc4-4216-aafe-698cd1926663"/>
    <ds:schemaRef ds:uri="937ab935-90bc-4874-aefa-b983590e45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ELABS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Mathias Norderud</cp:lastModifiedBy>
  <cp:revision>2</cp:revision>
  <dcterms:created xsi:type="dcterms:W3CDTF">2025-11-19T13:50:04Z</dcterms:created>
  <dcterms:modified xsi:type="dcterms:W3CDTF">2025-11-19T20:35:40Z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0x0101000A20F5C0AB903045803D1A3285C84E6E</vt:lpwstr>
  </property>
  <property fmtid="{D5CDD505-2E9C-101B-9397-08002B2CF9AE}" pid="3" name="MediaServiceImageTags">
    <vt:lpwstr/>
  </property>
</Properties>
</file>